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9420" windowHeight="4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<sst xmlns="http://schemas.openxmlformats.org/spreadsheetml/2006/main" count="594" uniqueCount="275">
  <si>
    <t>LEFT</t>
  </si>
  <si>
    <t>RIGHT</t>
  </si>
  <si>
    <t>INC</t>
  </si>
  <si>
    <t>CVR---ULB</t>
  </si>
  <si>
    <t>LEFT ENGINE</t>
  </si>
  <si>
    <t xml:space="preserve">RIGHT ENGINE </t>
  </si>
  <si>
    <t>THIS FORM IS TO BE USED AS REFERENCE ONLY.</t>
  </si>
  <si>
    <t>FAA AIRCRAFT AND ENGINE MAINTENANCE RECORDS ARE LEGAL DOCUMENTATION</t>
  </si>
  <si>
    <t>1000 Hr</t>
  </si>
  <si>
    <t>3600 Hr</t>
  </si>
  <si>
    <t>6 Yr</t>
  </si>
  <si>
    <t>DUE NOW</t>
  </si>
  <si>
    <t>ITEMS TO BE NOTED</t>
  </si>
  <si>
    <t>ETSN</t>
  </si>
  <si>
    <t>HOURMETER</t>
  </si>
  <si>
    <t>ADJUSTMENT</t>
  </si>
  <si>
    <t>TOTAL TIME</t>
  </si>
  <si>
    <t>DATE</t>
  </si>
  <si>
    <t>CYCLES</t>
  </si>
  <si>
    <t>TSOH</t>
  </si>
  <si>
    <t>TSHSI</t>
  </si>
  <si>
    <t>CSN</t>
  </si>
  <si>
    <t>PTSN</t>
  </si>
  <si>
    <t>ALL ENGINE TIMES</t>
  </si>
  <si>
    <t>ARE TTSN (ETSN)</t>
  </si>
  <si>
    <t>ALL AIRCRAFT TIMES</t>
  </si>
  <si>
    <t>ARE TTSN (ACTT)</t>
  </si>
  <si>
    <t>ITEM</t>
  </si>
  <si>
    <t>PHASE 1</t>
  </si>
  <si>
    <t>PHASE 2</t>
  </si>
  <si>
    <t>PHASE 3</t>
  </si>
  <si>
    <t>PHASE 4</t>
  </si>
  <si>
    <t>PHASES 1 THRU 4:</t>
  </si>
  <si>
    <t>LAST CYCLE COMPLETED</t>
  </si>
  <si>
    <t>800 HR</t>
  </si>
  <si>
    <t>HR</t>
  </si>
  <si>
    <t>#1 ALTIMETER</t>
  </si>
  <si>
    <t>#2 ALTIMETER</t>
  </si>
  <si>
    <t>#2 TRANSPONDER</t>
  </si>
  <si>
    <t>#1 TRANSPONDER</t>
  </si>
  <si>
    <t>INSP</t>
  </si>
  <si>
    <t>CY</t>
  </si>
  <si>
    <t>CERTIFY</t>
  </si>
  <si>
    <t>TEST</t>
  </si>
  <si>
    <t>HYDRO</t>
  </si>
  <si>
    <t>CLEAN &amp;</t>
  </si>
  <si>
    <t>CVR---ULB BATTERY</t>
  </si>
  <si>
    <t>REPLACE</t>
  </si>
  <si>
    <t>AS DATED</t>
  </si>
  <si>
    <t>MO</t>
  </si>
  <si>
    <t>ELT FAR 91.207(d)</t>
  </si>
  <si>
    <t>INSP/TEST</t>
  </si>
  <si>
    <t>12 MO</t>
  </si>
  <si>
    <t>ELT BATTERY</t>
  </si>
  <si>
    <t>EXTERIOR SKIN</t>
  </si>
  <si>
    <t>10000 CYC</t>
  </si>
  <si>
    <t>FIRE EXTINGUISHER, CABIN</t>
  </si>
  <si>
    <t>FIRE EXTINGUISHER, COCKPIT</t>
  </si>
  <si>
    <t>FLAP FLEX SHAFT</t>
  </si>
  <si>
    <t>LJ527-UP &amp; LW1-UP</t>
  </si>
  <si>
    <t>FLIGHT CONTROLS</t>
  </si>
  <si>
    <t>5000 CYC</t>
  </si>
  <si>
    <t>10K INIT THEN 5K</t>
  </si>
  <si>
    <t>10K INIT THEN 1K</t>
  </si>
  <si>
    <t>FUSELAGE INSPECTION</t>
  </si>
  <si>
    <t>9000 CYC</t>
  </si>
  <si>
    <t>LANDING GEAR, HYD SYS FILTER</t>
  </si>
  <si>
    <t>CLEAN/INSP</t>
  </si>
  <si>
    <t>1200 HR</t>
  </si>
  <si>
    <t>OVERHAUL</t>
  </si>
  <si>
    <t>6 YR</t>
  </si>
  <si>
    <t>LANDING GEAR, CLEVIS (3EA)</t>
  </si>
  <si>
    <t>1000 CYC</t>
  </si>
  <si>
    <t>HYDRAULIC LANDING GEAR</t>
  </si>
  <si>
    <t>LANDING GEAR, EXT/RET HOSES</t>
  </si>
  <si>
    <t>5 YR</t>
  </si>
  <si>
    <t>TYPE</t>
  </si>
  <si>
    <t>INTERVAL</t>
  </si>
  <si>
    <t>REMARKS</t>
  </si>
  <si>
    <t>8000 CYC</t>
  </si>
  <si>
    <t>10 YR</t>
  </si>
  <si>
    <t>ASSEMBLY (3EA)</t>
  </si>
  <si>
    <t>200 HR</t>
  </si>
  <si>
    <t>AIRSTAIR LATCH BOLTS</t>
  </si>
  <si>
    <t>AIRSTAIR UPER HOOKS</t>
  </si>
  <si>
    <t>DUE EACH 5K</t>
  </si>
  <si>
    <t>DUE EACH 10K</t>
  </si>
  <si>
    <t>24 MO</t>
  </si>
  <si>
    <t>12 YR</t>
  </si>
  <si>
    <t>2400 HR</t>
  </si>
  <si>
    <t>30 MO</t>
  </si>
  <si>
    <t>1000 HR</t>
  </si>
  <si>
    <t>MECHANICAL LANDING GEAR</t>
  </si>
  <si>
    <t>EDGE LIGHTED PANEL</t>
  </si>
  <si>
    <t>2000 HR</t>
  </si>
  <si>
    <t>4 YR</t>
  </si>
  <si>
    <t>LANDING GEAR, ACTUATOR</t>
  </si>
  <si>
    <t>ACTUATOR, END PLAY CHECK</t>
  </si>
  <si>
    <t>MOTOR, GEARBOX, &amp; CLUTCH</t>
  </si>
  <si>
    <t>OXYGEN REGULATOR</t>
  </si>
  <si>
    <t>POWER LEVER STOP PIN</t>
  </si>
  <si>
    <t>SPAR CAP</t>
  </si>
  <si>
    <t>WING BOLT</t>
  </si>
  <si>
    <t>(3EA)</t>
  </si>
  <si>
    <t>3 YR</t>
  </si>
  <si>
    <t>24 YR</t>
  </si>
  <si>
    <t>3600 HR</t>
  </si>
  <si>
    <t>HOT SECTION</t>
  </si>
  <si>
    <t>STARTER GENERATOR</t>
  </si>
  <si>
    <t>OIL FILTER</t>
  </si>
  <si>
    <t>FLAMMABLE FLUID HOSES</t>
  </si>
  <si>
    <t>ENGINE MOUNTS</t>
  </si>
  <si>
    <t>PROPELLER</t>
  </si>
  <si>
    <t>4000 HR</t>
  </si>
  <si>
    <t>DUE AT ENG O/H</t>
  </si>
  <si>
    <t>OR 4000 HR</t>
  </si>
  <si>
    <t>OVERSPEED GOVERNOR</t>
  </si>
  <si>
    <t>6500 HR</t>
  </si>
  <si>
    <t>PRIMARY GOVERNOR</t>
  </si>
  <si>
    <t>4500 HR</t>
  </si>
  <si>
    <t>FUEL NOZZLES</t>
  </si>
  <si>
    <t>CLEAN/TEST</t>
  </si>
  <si>
    <t>400 HR</t>
  </si>
  <si>
    <t>1800 HR</t>
  </si>
  <si>
    <t>NOTES:</t>
  </si>
  <si>
    <t>REMAIN</t>
  </si>
  <si>
    <t>DUE</t>
  </si>
  <si>
    <t>C/W</t>
  </si>
  <si>
    <t>AD 2002-01-10, TORQUE KNEES</t>
  </si>
  <si>
    <t>AFT PRESS BKHD &amp; FUSELAGE</t>
  </si>
  <si>
    <t>SEE CH. 53-10-00</t>
  </si>
  <si>
    <t>AIRSTAIR DOOR &amp; FUS. FRAME</t>
  </si>
  <si>
    <t>5 YR INIT THEN 1 YR</t>
  </si>
  <si>
    <t>SEE P&amp;W SB 1003</t>
  </si>
  <si>
    <t>SEE SB 33580 L</t>
  </si>
  <si>
    <t>SEESB 33580 L</t>
  </si>
  <si>
    <t>STATUS SHEET</t>
  </si>
  <si>
    <t>TIME ELAPSED</t>
  </si>
  <si>
    <t>ALL CYCLES PER PILOT</t>
  </si>
  <si>
    <t>WOODWARD CALENDAR TIMES ONLY APPLY TO A/C OPERATED UNDED 10HR/MO</t>
  </si>
  <si>
    <t>BATTERY, LEAD ACID</t>
  </si>
  <si>
    <t>5000 HR</t>
  </si>
  <si>
    <t>BEECH C90A</t>
  </si>
  <si>
    <t>OXYGEN BOTTLE, 3HT 1850 (LT. WT.)</t>
  </si>
  <si>
    <t>DUE AT OR BEFORE</t>
  </si>
  <si>
    <t>NEXT INSPECTION</t>
  </si>
  <si>
    <t>OVER DUE</t>
  </si>
  <si>
    <t>CABIN ALTITUDE WARNING SYS.</t>
  </si>
  <si>
    <t>MAINTENANCE EVENTS:</t>
  </si>
  <si>
    <t>N72TG</t>
  </si>
  <si>
    <t>LJ-1252</t>
  </si>
  <si>
    <t>D.O.M. 6-25-90</t>
  </si>
  <si>
    <t>NA</t>
  </si>
  <si>
    <t>AILERON DETAILED</t>
  </si>
  <si>
    <t>EVAPORATOR FILTER</t>
  </si>
  <si>
    <t>CLEAN</t>
  </si>
  <si>
    <t>PCE-PZ0421</t>
  </si>
  <si>
    <t>PCE-PZ0419</t>
  </si>
  <si>
    <t>FY-2942</t>
  </si>
  <si>
    <t>FY-2938</t>
  </si>
  <si>
    <t>BOROSCOPE</t>
  </si>
  <si>
    <t>ME 406</t>
  </si>
  <si>
    <t>INSTRUMENT AIR FILTER</t>
  </si>
  <si>
    <t>LUBE</t>
  </si>
  <si>
    <t>LUBE SCHEDULE, 200 HR</t>
  </si>
  <si>
    <t>LUBE SCHEDULE, 400 HR</t>
  </si>
  <si>
    <t>LUBE SCHEDULE, 800 HR</t>
  </si>
  <si>
    <t>LUBE SCHEDULE, 1200 HR</t>
  </si>
  <si>
    <t>6000 CYC</t>
  </si>
  <si>
    <t>ME406 ELT INSTALLED 11-08</t>
  </si>
  <si>
    <t>P/N 455-6607 S/N 13530</t>
  </si>
  <si>
    <t>P&amp;I BY LEGACY, YUKON, 12-08</t>
  </si>
  <si>
    <t>570-505 WH</t>
  </si>
  <si>
    <t>10568 SILV</t>
  </si>
  <si>
    <t>1955 BLK</t>
  </si>
  <si>
    <t>550 RED</t>
  </si>
  <si>
    <t>FRAKES EXHAUST STC SA6710SW INSTALLED 12-06 BY STEVENS BRM</t>
  </si>
  <si>
    <t>CENTEX STC SA1033956 INSTALLED 12-06 BY STEVENS BRM</t>
  </si>
  <si>
    <t>RAISBECK STC SA3593NM INSTALLED 12-06 BY STEVENS BRM</t>
  </si>
  <si>
    <t>BLACKHAWK STC SA10341SC INSTALLED 12-06 BY STEVENS BRM</t>
  </si>
  <si>
    <t>O/H'D PILOT WDSHD INSTALLED 12-04 BY CUTTER ABQ 4709 CYC</t>
  </si>
  <si>
    <t xml:space="preserve">RAISBECK SB 08-BC-01, DATED JAN-04, INSTALLED </t>
  </si>
  <si>
    <t>GROSS WT INCR 10,500 LB</t>
  </si>
  <si>
    <t>SEE MFG ICA</t>
  </si>
  <si>
    <t>P3 FILTER</t>
  </si>
  <si>
    <t>NACELLE SPLICE PLATES</t>
  </si>
  <si>
    <t>10,000 HR</t>
  </si>
  <si>
    <t>20,000 HR</t>
  </si>
  <si>
    <t>LANDING GEAR BRAKE HOSES</t>
  </si>
  <si>
    <t>DUE EACH 24 MO</t>
  </si>
  <si>
    <t>P&amp;WC PT6A-135A</t>
  </si>
  <si>
    <t>HART HC-D4N-3C</t>
  </si>
  <si>
    <t>GILL STC INSTALLED</t>
  </si>
  <si>
    <t>DONE</t>
  </si>
  <si>
    <t>HC-D4N-3C</t>
  </si>
  <si>
    <t>PT6A-135A</t>
  </si>
  <si>
    <t>3000 CYC</t>
  </si>
  <si>
    <t>PNUEMATIC FLOW PACK FILTER</t>
  </si>
  <si>
    <t>WINDSHIELD ATTACH SCREWS, LH</t>
  </si>
  <si>
    <t>WINDSHIELD ATTACH SCREWS, RH</t>
  </si>
  <si>
    <t>DUE EACH 10000 CYC</t>
  </si>
  <si>
    <t>PRESSURIZATION CONTROL FILTER</t>
  </si>
  <si>
    <t>6 M0</t>
  </si>
  <si>
    <t>VRSLA P/N G-6381E</t>
  </si>
  <si>
    <t>EQUIPMENT NOT INSTALLED</t>
  </si>
  <si>
    <t>6K INITIAL, 3K RECURRING</t>
  </si>
  <si>
    <t>INITIAL C/W TAS 6-2010</t>
  </si>
  <si>
    <t>HC MAN. 149 61-00-49 pg 5-7 Rv 8 Nov 99</t>
  </si>
  <si>
    <t>SANDEN</t>
  </si>
  <si>
    <t>KIT</t>
  </si>
  <si>
    <t>P/N 90-5077-1</t>
  </si>
  <si>
    <t>R134A SYSTEM CONVERSION BEECH COMM. 2006-1 JUN-06 BY TULSAIR</t>
  </si>
  <si>
    <t>PMA</t>
  </si>
  <si>
    <t>STC</t>
  </si>
  <si>
    <t>CRS</t>
  </si>
  <si>
    <t>SB</t>
  </si>
  <si>
    <t>WOODWARD</t>
  </si>
  <si>
    <t>33580L</t>
  </si>
  <si>
    <t>L50R364Y</t>
  </si>
  <si>
    <t>FUEL PROBE</t>
  </si>
  <si>
    <t>P/N 146898-1</t>
  </si>
  <si>
    <t>LANDING GEAR, EMER PUMP FILTER</t>
  </si>
  <si>
    <t>AIRCOND, MOTOR BRUSHES</t>
  </si>
  <si>
    <t>AC HOUR</t>
  </si>
  <si>
    <t>CLEVELAND NLG WHEEL STC SA1077GL INSTALLED 3-11 BY STEVENS BRM</t>
  </si>
  <si>
    <t>KIT 199-126 RK</t>
  </si>
  <si>
    <t>NEW AC COMPRESSOR INSTALLED 3-11 BY STEVENS BRM</t>
  </si>
  <si>
    <t>Recurring Cap Check</t>
  </si>
  <si>
    <t>20 YR</t>
  </si>
  <si>
    <t>130F003-12D0414</t>
  </si>
  <si>
    <t>130F006G0100D180</t>
  </si>
  <si>
    <t>130F002-10D0145</t>
  </si>
  <si>
    <t>130F002-4S0180</t>
  </si>
  <si>
    <t>130F001-4S0104</t>
  </si>
  <si>
    <t>130F001-4S0314</t>
  </si>
  <si>
    <t>111417-4S0140</t>
  </si>
  <si>
    <t>OIL COOLER</t>
  </si>
  <si>
    <t>2X</t>
  </si>
  <si>
    <t>FUEL HEATER TO COUNTER</t>
  </si>
  <si>
    <t>LH ENGINE</t>
  </si>
  <si>
    <t>1X</t>
  </si>
  <si>
    <t>F/W TO FUEL CONTROL</t>
  </si>
  <si>
    <t>130F002-4S0090</t>
  </si>
  <si>
    <t>RH ENGINE</t>
  </si>
  <si>
    <t>L&amp;R SAME</t>
  </si>
  <si>
    <t>LH ONLY</t>
  </si>
  <si>
    <t>RH ONLY</t>
  </si>
  <si>
    <t>TORQUE PRESS TRANSMITTER</t>
  </si>
  <si>
    <t>TORQUE PRESSURE</t>
  </si>
  <si>
    <t>PROP SEAL DRAIN</t>
  </si>
  <si>
    <t>13002-4S0204</t>
  </si>
  <si>
    <t>FORWARD DRAIN</t>
  </si>
  <si>
    <t>13001-4S0140</t>
  </si>
  <si>
    <t>13002-6S0114</t>
  </si>
  <si>
    <t>ENGINE HOSE KIT, 5 YEAR REPLACE</t>
  </si>
  <si>
    <t>PRECISION HOSE TECH, TULSA</t>
  </si>
  <si>
    <t>REC CAP CK</t>
  </si>
  <si>
    <t>1ST CAP CK</t>
  </si>
  <si>
    <t>ADSB COMPLIANT</t>
  </si>
  <si>
    <t>90-555101-0001</t>
  </si>
  <si>
    <t>NEW AC DRIVE MOTOR INSTALLED 9-18 BY FLYTEX</t>
  </si>
  <si>
    <t>500 HR</t>
  </si>
  <si>
    <t>RUDDER BOOST FILTER</t>
  </si>
  <si>
    <t>2J4-7</t>
  </si>
  <si>
    <t>KAD AERO LED STROBE LIGHT STC SA03902NY INSTALLED 8/19 BY FLYTEX</t>
  </si>
  <si>
    <t xml:space="preserve">STRATUS ESG INSTALLED 8/19 </t>
  </si>
  <si>
    <t>VACUUM REGULATOR FILTER</t>
  </si>
  <si>
    <t>S.I.R.M. CH. 53</t>
  </si>
  <si>
    <t>S.I.R.M.</t>
  </si>
  <si>
    <t>STRUCTURAL INSPECTION (NDT)</t>
  </si>
  <si>
    <t>2362hm</t>
  </si>
  <si>
    <t>***500hr brush replace due ??***</t>
  </si>
  <si>
    <t xml:space="preserve">10 YR </t>
  </si>
  <si>
    <t>BARE PLANES</t>
  </si>
  <si>
    <t>LLC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</si>
</sst>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/d/yy\ h:mm\ AM/PM"/>
    <numFmt numFmtId="167" formatCode="#,##0.0"/>
    <numFmt numFmtId="168" formatCode="mmmm\-yy"/>
    <numFmt numFmtId="169" formatCode="[$-409]dddd\,\ mmmm\ dd\,\ yyyy"/>
    <numFmt numFmtId="170" formatCode="m/d/yy;@"/>
    <numFmt numFmtId="171" formatCode="[$-409]mmm\-yy;@"/>
    <numFmt numFmtId="172" formatCode="0.000"/>
    <numFmt numFmtId="173" formatCode="0.00000000000000"/>
    <numFmt numFmtId="174" formatCode="0;[Red]0"/>
    <numFmt numFmtId="175" formatCode="0.0;[Red]0.0"/>
  </numFmts>
  <fonts count="70">
    <font>
      <sz val="9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Times New Roman"/>
      <family val="1"/>
    </font>
    <font>
      <sz val="10"/>
      <color indexed="62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49"/>
      <name val="Times New Roman"/>
      <family val="1"/>
    </font>
    <font>
      <b/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Times New Roman"/>
      <family val="1"/>
    </font>
    <font>
      <sz val="10"/>
      <color theme="3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4"/>
      <name val="Times New Roman"/>
      <family val="1"/>
    </font>
    <font>
      <b/>
      <sz val="10"/>
      <color theme="3"/>
      <name val="Times New Roman"/>
      <family val="1"/>
    </font>
    <font>
      <b/>
      <sz val="9"/>
      <color theme="3" tint="0.39998000860214233"/>
      <name val="Times New Roman"/>
      <family val="1"/>
    </font>
    <font>
      <b/>
      <sz val="24"/>
      <color rgb="FFFF0000"/>
      <name val="Times New Roman"/>
      <family val="1"/>
    </font>
    <font>
      <b/>
      <sz val="10"/>
      <color theme="3" tint="0.399980008602142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165" fontId="5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1" fontId="4" fillId="0" borderId="20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71" fontId="4" fillId="0" borderId="14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171" fontId="5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" fontId="5" fillId="0" borderId="18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171" fontId="5" fillId="0" borderId="14" xfId="0" applyNumberFormat="1" applyFont="1" applyFill="1" applyBorder="1" applyAlignment="1">
      <alignment horizontal="center"/>
    </xf>
    <xf numFmtId="17" fontId="5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7" fontId="5" fillId="0" borderId="2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/>
    </xf>
    <xf numFmtId="165" fontId="5" fillId="0" borderId="14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171" fontId="5" fillId="0" borderId="2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65" fontId="4" fillId="0" borderId="22" xfId="0" applyNumberFormat="1" applyFont="1" applyFill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5" fillId="0" borderId="25" xfId="0" applyFont="1" applyFill="1" applyBorder="1" applyAlignment="1">
      <alignment vertical="center"/>
    </xf>
    <xf numFmtId="165" fontId="4" fillId="0" borderId="14" xfId="0" applyNumberFormat="1" applyFont="1" applyFill="1" applyBorder="1" applyAlignment="1">
      <alignment horizontal="right"/>
    </xf>
    <xf numFmtId="0" fontId="5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5" fontId="16" fillId="0" borderId="22" xfId="0" applyNumberFormat="1" applyFont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60" fillId="0" borderId="14" xfId="0" applyFont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0" fontId="2" fillId="0" borderId="14" xfId="0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6" xfId="0" applyFont="1" applyBorder="1" applyAlignment="1">
      <alignment/>
    </xf>
    <xf numFmtId="171" fontId="0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6" borderId="32" xfId="0" applyFont="1" applyFill="1" applyBorder="1" applyAlignment="1">
      <alignment/>
    </xf>
    <xf numFmtId="0" fontId="5" fillId="0" borderId="33" xfId="0" applyFont="1" applyFill="1" applyBorder="1" applyAlignment="1">
      <alignment horizontal="left"/>
    </xf>
    <xf numFmtId="165" fontId="5" fillId="0" borderId="3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5" fontId="5" fillId="0" borderId="33" xfId="0" applyNumberFormat="1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1" fontId="4" fillId="0" borderId="30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/>
    </xf>
    <xf numFmtId="171" fontId="4" fillId="0" borderId="31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" fontId="4" fillId="0" borderId="31" xfId="0" applyNumberFormat="1" applyFont="1" applyFill="1" applyBorder="1" applyAlignment="1">
      <alignment horizontal="center"/>
    </xf>
    <xf numFmtId="165" fontId="5" fillId="37" borderId="25" xfId="0" applyNumberFormat="1" applyFont="1" applyFill="1" applyBorder="1" applyAlignment="1">
      <alignment horizontal="center"/>
    </xf>
    <xf numFmtId="170" fontId="4" fillId="37" borderId="22" xfId="0" applyNumberFormat="1" applyFont="1" applyFill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4" xfId="0" applyFont="1" applyFill="1" applyBorder="1" applyAlignment="1">
      <alignment horizontal="center"/>
    </xf>
    <xf numFmtId="0" fontId="63" fillId="0" borderId="31" xfId="0" applyFont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/>
    </xf>
    <xf numFmtId="17" fontId="64" fillId="0" borderId="17" xfId="0" applyNumberFormat="1" applyFont="1" applyFill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5" fillId="0" borderId="31" xfId="0" applyFont="1" applyFill="1" applyBorder="1" applyAlignment="1">
      <alignment/>
    </xf>
    <xf numFmtId="0" fontId="64" fillId="0" borderId="14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/>
    </xf>
    <xf numFmtId="174" fontId="4" fillId="0" borderId="17" xfId="0" applyNumberFormat="1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/>
    </xf>
    <xf numFmtId="174" fontId="3" fillId="0" borderId="14" xfId="0" applyNumberFormat="1" applyFont="1" applyFill="1" applyBorder="1" applyAlignment="1">
      <alignment horizontal="center"/>
    </xf>
    <xf numFmtId="174" fontId="4" fillId="0" borderId="20" xfId="0" applyNumberFormat="1" applyFont="1" applyFill="1" applyBorder="1" applyAlignment="1">
      <alignment horizontal="center"/>
    </xf>
    <xf numFmtId="174" fontId="3" fillId="0" borderId="20" xfId="0" applyNumberFormat="1" applyFont="1" applyFill="1" applyBorder="1" applyAlignment="1">
      <alignment horizontal="center"/>
    </xf>
    <xf numFmtId="174" fontId="4" fillId="0" borderId="20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 horizontal="center"/>
    </xf>
    <xf numFmtId="174" fontId="0" fillId="0" borderId="28" xfId="0" applyNumberFormat="1" applyFont="1" applyFill="1" applyBorder="1" applyAlignment="1">
      <alignment horizontal="center"/>
    </xf>
    <xf numFmtId="174" fontId="5" fillId="0" borderId="28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horizontal="center"/>
    </xf>
    <xf numFmtId="174" fontId="0" fillId="0" borderId="14" xfId="0" applyNumberFormat="1" applyFont="1" applyFill="1" applyBorder="1" applyAlignment="1">
      <alignment horizontal="center"/>
    </xf>
    <xf numFmtId="174" fontId="5" fillId="0" borderId="14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 horizontal="center"/>
    </xf>
    <xf numFmtId="174" fontId="0" fillId="0" borderId="17" xfId="0" applyNumberFormat="1" applyFont="1" applyFill="1" applyBorder="1" applyAlignment="1">
      <alignment horizontal="center"/>
    </xf>
    <xf numFmtId="174" fontId="5" fillId="0" borderId="17" xfId="0" applyNumberFormat="1" applyFont="1" applyFill="1" applyBorder="1" applyAlignment="1">
      <alignment/>
    </xf>
    <xf numFmtId="174" fontId="5" fillId="0" borderId="26" xfId="0" applyNumberFormat="1" applyFont="1" applyFill="1" applyBorder="1" applyAlignment="1">
      <alignment horizontal="center"/>
    </xf>
    <xf numFmtId="174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174" fontId="5" fillId="0" borderId="31" xfId="0" applyNumberFormat="1" applyFont="1" applyFill="1" applyBorder="1" applyAlignment="1">
      <alignment horizontal="center"/>
    </xf>
    <xf numFmtId="174" fontId="0" fillId="0" borderId="31" xfId="0" applyNumberFormat="1" applyFont="1" applyFill="1" applyBorder="1" applyAlignment="1">
      <alignment horizontal="center"/>
    </xf>
    <xf numFmtId="174" fontId="5" fillId="0" borderId="31" xfId="0" applyNumberFormat="1" applyFont="1" applyFill="1" applyBorder="1" applyAlignment="1">
      <alignment/>
    </xf>
    <xf numFmtId="174" fontId="5" fillId="0" borderId="30" xfId="0" applyNumberFormat="1" applyFont="1" applyFill="1" applyBorder="1" applyAlignment="1">
      <alignment horizontal="center"/>
    </xf>
    <xf numFmtId="174" fontId="0" fillId="0" borderId="30" xfId="0" applyNumberFormat="1" applyFont="1" applyFill="1" applyBorder="1" applyAlignment="1">
      <alignment horizontal="center"/>
    </xf>
    <xf numFmtId="174" fontId="5" fillId="0" borderId="30" xfId="0" applyNumberFormat="1" applyFont="1" applyFill="1" applyBorder="1" applyAlignment="1">
      <alignment/>
    </xf>
    <xf numFmtId="174" fontId="5" fillId="36" borderId="26" xfId="0" applyNumberFormat="1" applyFont="1" applyFill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62" fillId="0" borderId="20" xfId="0" applyFont="1" applyBorder="1" applyAlignment="1">
      <alignment horizontal="center"/>
    </xf>
    <xf numFmtId="171" fontId="2" fillId="0" borderId="14" xfId="0" applyNumberFormat="1" applyFont="1" applyFill="1" applyBorder="1" applyAlignment="1">
      <alignment horizontal="center"/>
    </xf>
    <xf numFmtId="6" fontId="62" fillId="0" borderId="14" xfId="0" applyNumberFormat="1" applyFont="1" applyBorder="1" applyAlignment="1">
      <alignment horizontal="center"/>
    </xf>
    <xf numFmtId="0" fontId="67" fillId="0" borderId="12" xfId="0" applyFont="1" applyBorder="1" applyAlignment="1">
      <alignment/>
    </xf>
    <xf numFmtId="165" fontId="5" fillId="0" borderId="14" xfId="0" applyNumberFormat="1" applyFont="1" applyFill="1" applyBorder="1" applyAlignment="1">
      <alignment/>
    </xf>
    <xf numFmtId="0" fontId="5" fillId="36" borderId="21" xfId="0" applyFont="1" applyFill="1" applyBorder="1" applyAlignment="1">
      <alignment vertical="center"/>
    </xf>
    <xf numFmtId="0" fontId="5" fillId="36" borderId="17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" fontId="0" fillId="0" borderId="0" xfId="0" applyNumberFormat="1" applyAlignment="1">
      <alignment/>
    </xf>
    <xf numFmtId="174" fontId="69" fillId="0" borderId="14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8" borderId="23" xfId="0" applyFont="1" applyFill="1" applyBorder="1" applyAlignment="1">
      <alignment/>
    </xf>
    <xf numFmtId="0" fontId="5" fillId="38" borderId="17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38" borderId="20" xfId="0" applyFont="1" applyFill="1" applyBorder="1" applyAlignment="1">
      <alignment/>
    </xf>
    <xf numFmtId="0" fontId="5" fillId="38" borderId="20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38" borderId="31" xfId="0" applyFont="1" applyFill="1" applyBorder="1" applyAlignment="1">
      <alignment/>
    </xf>
    <xf numFmtId="0" fontId="4" fillId="38" borderId="22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3"/>
  <sheetViews>
    <sheetView tabSelected="1" workbookViewId="0" topLeftCell="A93">
      <selection activeCell="I113" sqref="I113"/>
    </sheetView>
  </sheetViews>
  <sheetFormatPr defaultColWidth="9.33203125" defaultRowHeight="15" customHeight="1"/>
  <cols>
    <col min="1" max="1" width="40.66015625" style="25" customWidth="1"/>
    <col min="2" max="2" width="14.66015625" style="30" customWidth="1"/>
    <col min="3" max="3" width="12.66015625" style="2" customWidth="1"/>
    <col min="4" max="4" width="6.83203125" style="2" hidden="1" customWidth="1"/>
    <col min="5" max="5" width="13.5" style="33" customWidth="1"/>
    <col min="6" max="6" width="12.66015625" style="33" customWidth="1"/>
    <col min="7" max="7" width="12.66015625" style="25" customWidth="1"/>
    <col min="8" max="8" width="4.16015625" style="2" customWidth="1"/>
    <col min="9" max="9" width="35.66015625" style="1" customWidth="1"/>
    <col min="10" max="16384" width="9.33203125" style="1" customWidth="1"/>
  </cols>
  <sheetData>
    <row r="2" spans="5:7" ht="24.75" customHeight="1">
      <c r="E2" s="264" t="s">
        <v>273</v>
      </c>
      <c r="G2" s="265" t="s">
        <v>274</v>
      </c>
    </row>
    <row r="3" spans="1:9" ht="15" customHeight="1">
      <c r="A3" s="50"/>
      <c r="B3" s="6"/>
      <c r="C3" s="7"/>
      <c r="D3" s="7"/>
      <c r="E3" s="49" t="s">
        <v>136</v>
      </c>
      <c r="F3" s="7"/>
      <c r="G3" s="7"/>
      <c r="H3" s="8"/>
      <c r="I3" s="14" t="s">
        <v>11</v>
      </c>
    </row>
    <row r="4" spans="1:9" ht="15" customHeight="1">
      <c r="A4" s="50" t="s">
        <v>149</v>
      </c>
      <c r="B4" s="6"/>
      <c r="C4" s="7"/>
      <c r="D4" s="7"/>
      <c r="E4" s="49" t="s">
        <v>142</v>
      </c>
      <c r="F4" s="7"/>
      <c r="G4" s="7"/>
      <c r="H4" s="8"/>
      <c r="I4" s="16" t="s">
        <v>144</v>
      </c>
    </row>
    <row r="5" spans="1:9" ht="15" customHeight="1">
      <c r="A5" s="50" t="s">
        <v>150</v>
      </c>
      <c r="B5" s="7" t="s">
        <v>223</v>
      </c>
      <c r="C5" s="15"/>
      <c r="D5" s="15"/>
      <c r="E5" s="15"/>
      <c r="F5" s="7"/>
      <c r="G5" s="7"/>
      <c r="H5" s="8"/>
      <c r="I5" s="16" t="s">
        <v>145</v>
      </c>
    </row>
    <row r="6" spans="1:9" ht="15" customHeight="1">
      <c r="A6" s="145" t="s">
        <v>151</v>
      </c>
      <c r="B6" s="277">
        <v>33.7</v>
      </c>
      <c r="C6" s="7"/>
      <c r="D6" s="8"/>
      <c r="E6" s="7"/>
      <c r="F6" s="7" t="s">
        <v>0</v>
      </c>
      <c r="G6" s="35" t="s">
        <v>1</v>
      </c>
      <c r="H6" s="8"/>
      <c r="I6" s="47" t="s">
        <v>146</v>
      </c>
    </row>
    <row r="7" spans="1:9" ht="15" customHeight="1">
      <c r="A7" s="24"/>
      <c r="B7" s="6"/>
      <c r="C7" s="7"/>
      <c r="D7" s="8"/>
      <c r="E7" s="146" t="s">
        <v>190</v>
      </c>
      <c r="F7" s="150" t="s">
        <v>157</v>
      </c>
      <c r="G7" s="131" t="s">
        <v>156</v>
      </c>
      <c r="H7" s="8"/>
      <c r="I7" s="20" t="s">
        <v>12</v>
      </c>
    </row>
    <row r="8" spans="1:9" ht="15" customHeight="1">
      <c r="A8" s="24"/>
      <c r="B8" s="6"/>
      <c r="C8" s="7"/>
      <c r="D8" s="8"/>
      <c r="E8" s="19" t="s">
        <v>13</v>
      </c>
      <c r="F8" s="129">
        <f>SUM(B11-5339.4)</f>
        <v>3371.3999999999996</v>
      </c>
      <c r="G8" s="76">
        <f>SUM(B11-5339.4)</f>
        <v>3371.3999999999996</v>
      </c>
      <c r="H8" s="8"/>
      <c r="I8" s="21" t="s">
        <v>23</v>
      </c>
    </row>
    <row r="9" spans="1:9" ht="15" customHeight="1">
      <c r="A9" s="17" t="s">
        <v>14</v>
      </c>
      <c r="B9" s="201">
        <v>3188</v>
      </c>
      <c r="C9" s="7"/>
      <c r="D9" s="8"/>
      <c r="E9" s="19" t="s">
        <v>19</v>
      </c>
      <c r="F9" s="130" t="s">
        <v>152</v>
      </c>
      <c r="G9" s="39" t="s">
        <v>152</v>
      </c>
      <c r="H9" s="8"/>
      <c r="I9" s="21" t="s">
        <v>24</v>
      </c>
    </row>
    <row r="10" spans="1:9" ht="15" customHeight="1">
      <c r="A10" s="17" t="s">
        <v>15</v>
      </c>
      <c r="B10" s="130">
        <v>5522.8</v>
      </c>
      <c r="C10" s="7"/>
      <c r="D10" s="8"/>
      <c r="E10" s="19" t="s">
        <v>20</v>
      </c>
      <c r="F10" s="130">
        <f>SUM(F8-2326)</f>
        <v>1045.3999999999996</v>
      </c>
      <c r="G10" s="39">
        <f>SUM(G8-2416)</f>
        <v>955.3999999999996</v>
      </c>
      <c r="H10" s="8"/>
      <c r="I10" s="22"/>
    </row>
    <row r="11" spans="1:9" ht="15" customHeight="1">
      <c r="A11" s="17" t="s">
        <v>16</v>
      </c>
      <c r="B11" s="129">
        <f>B9+B10</f>
        <v>8710.8</v>
      </c>
      <c r="C11" s="135"/>
      <c r="D11" s="136"/>
      <c r="E11" s="137" t="s">
        <v>21</v>
      </c>
      <c r="F11" s="138">
        <f>SUM(B13-5215)</f>
        <v>2485</v>
      </c>
      <c r="G11" s="60">
        <f>SUM(B13-5215)</f>
        <v>2485</v>
      </c>
      <c r="H11" s="8"/>
      <c r="I11" s="23" t="s">
        <v>25</v>
      </c>
    </row>
    <row r="12" spans="1:9" ht="15" customHeight="1">
      <c r="A12" s="17" t="s">
        <v>17</v>
      </c>
      <c r="B12" s="202">
        <v>45306</v>
      </c>
      <c r="C12" s="135"/>
      <c r="D12" s="136"/>
      <c r="E12" s="147" t="s">
        <v>191</v>
      </c>
      <c r="F12" s="73" t="s">
        <v>159</v>
      </c>
      <c r="G12" s="59" t="s">
        <v>158</v>
      </c>
      <c r="H12" s="8"/>
      <c r="I12" s="23" t="s">
        <v>26</v>
      </c>
    </row>
    <row r="13" spans="1:9" ht="15" customHeight="1">
      <c r="A13" s="17" t="s">
        <v>18</v>
      </c>
      <c r="B13" s="276">
        <v>7700</v>
      </c>
      <c r="C13" s="135"/>
      <c r="D13" s="136"/>
      <c r="E13" s="137" t="s">
        <v>22</v>
      </c>
      <c r="F13" s="129">
        <f>SUM(B11-5339.4)</f>
        <v>3371.3999999999996</v>
      </c>
      <c r="G13" s="76">
        <f>SUM(B11-5339.4)</f>
        <v>3371.3999999999996</v>
      </c>
      <c r="H13" s="8"/>
      <c r="I13" s="23"/>
    </row>
    <row r="14" spans="1:9" ht="15" customHeight="1">
      <c r="A14" s="17" t="s">
        <v>137</v>
      </c>
      <c r="B14" s="130"/>
      <c r="C14" s="7"/>
      <c r="D14" s="8"/>
      <c r="E14" s="19" t="s">
        <v>19</v>
      </c>
      <c r="F14" s="130">
        <f>SUM(B11-8282.5)</f>
        <v>428.2999999999993</v>
      </c>
      <c r="G14" s="39">
        <f>SUM(B11-8282.5)</f>
        <v>428.2999999999993</v>
      </c>
      <c r="H14" s="8"/>
      <c r="I14" s="23" t="s">
        <v>138</v>
      </c>
    </row>
    <row r="15" spans="1:9" ht="15" customHeight="1">
      <c r="A15" s="17"/>
      <c r="B15" s="28"/>
      <c r="E15" s="28"/>
      <c r="F15" s="38"/>
      <c r="G15" s="17"/>
      <c r="H15" s="9"/>
      <c r="I15" s="18"/>
    </row>
    <row r="16" spans="1:9" ht="15" customHeight="1" thickBot="1">
      <c r="A16" s="44" t="s">
        <v>27</v>
      </c>
      <c r="B16" s="44" t="s">
        <v>76</v>
      </c>
      <c r="C16" s="44" t="s">
        <v>127</v>
      </c>
      <c r="D16" s="45" t="s">
        <v>2</v>
      </c>
      <c r="E16" s="44" t="s">
        <v>77</v>
      </c>
      <c r="F16" s="44" t="s">
        <v>126</v>
      </c>
      <c r="G16" s="44" t="s">
        <v>125</v>
      </c>
      <c r="H16" s="45"/>
      <c r="I16" s="46" t="s">
        <v>78</v>
      </c>
    </row>
    <row r="17" spans="1:9" ht="15" customHeight="1" thickTop="1">
      <c r="A17" s="257" t="s">
        <v>28</v>
      </c>
      <c r="B17" s="71" t="s">
        <v>40</v>
      </c>
      <c r="C17" s="216">
        <v>8587.3</v>
      </c>
      <c r="D17" s="80">
        <v>800</v>
      </c>
      <c r="E17" s="81" t="s">
        <v>34</v>
      </c>
      <c r="F17" s="217">
        <f>SUM(C17+400)</f>
        <v>8987.3</v>
      </c>
      <c r="G17" s="266">
        <f>SUM(F17-B11)</f>
        <v>276.5</v>
      </c>
      <c r="H17" s="81" t="s">
        <v>35</v>
      </c>
      <c r="I17" s="209"/>
    </row>
    <row r="18" spans="1:9" ht="15" customHeight="1">
      <c r="A18" s="257" t="s">
        <v>29</v>
      </c>
      <c r="B18" s="71" t="s">
        <v>40</v>
      </c>
      <c r="C18" s="216">
        <v>8587.3</v>
      </c>
      <c r="D18" s="58">
        <v>800</v>
      </c>
      <c r="E18" s="59" t="s">
        <v>34</v>
      </c>
      <c r="F18" s="218">
        <f>SUM(C18+400)</f>
        <v>8987.3</v>
      </c>
      <c r="G18" s="266">
        <f>SUM(F18-B11)</f>
        <v>276.5</v>
      </c>
      <c r="H18" s="73" t="s">
        <v>35</v>
      </c>
      <c r="I18" s="151"/>
    </row>
    <row r="19" spans="1:9" ht="15" customHeight="1">
      <c r="A19" s="270" t="s">
        <v>30</v>
      </c>
      <c r="B19" s="71" t="s">
        <v>40</v>
      </c>
      <c r="C19" s="216">
        <v>8391</v>
      </c>
      <c r="D19" s="58">
        <v>800</v>
      </c>
      <c r="E19" s="59" t="s">
        <v>34</v>
      </c>
      <c r="F19" s="218">
        <f>C18+200</f>
        <v>8787.3</v>
      </c>
      <c r="G19" s="229">
        <f>F19-B11</f>
        <v>76.5</v>
      </c>
      <c r="H19" s="59" t="s">
        <v>35</v>
      </c>
      <c r="I19" s="213"/>
    </row>
    <row r="20" spans="1:9" ht="15" customHeight="1">
      <c r="A20" s="270" t="s">
        <v>31</v>
      </c>
      <c r="B20" s="71" t="s">
        <v>40</v>
      </c>
      <c r="C20" s="216">
        <v>8391</v>
      </c>
      <c r="D20" s="58">
        <v>800</v>
      </c>
      <c r="E20" s="59" t="s">
        <v>34</v>
      </c>
      <c r="F20" s="218">
        <f>C18+200</f>
        <v>8787.3</v>
      </c>
      <c r="G20" s="229">
        <f>F20-B11</f>
        <v>76.5</v>
      </c>
      <c r="H20" s="59" t="s">
        <v>35</v>
      </c>
      <c r="I20" s="151"/>
    </row>
    <row r="21" spans="1:9" ht="15" customHeight="1">
      <c r="A21" s="278" t="s">
        <v>32</v>
      </c>
      <c r="B21" s="74" t="s">
        <v>40</v>
      </c>
      <c r="C21" s="68">
        <v>44696</v>
      </c>
      <c r="D21" s="58">
        <v>730</v>
      </c>
      <c r="E21" s="68" t="s">
        <v>87</v>
      </c>
      <c r="F21" s="68">
        <f>C21+D21</f>
        <v>45426</v>
      </c>
      <c r="G21" s="115">
        <f>SUM(F21-B12)/30.4</f>
        <v>3.947368421052632</v>
      </c>
      <c r="H21" s="59" t="s">
        <v>49</v>
      </c>
      <c r="I21" s="212" t="s">
        <v>189</v>
      </c>
    </row>
    <row r="22" spans="1:9" ht="15" customHeight="1">
      <c r="A22" s="260" t="s">
        <v>33</v>
      </c>
      <c r="B22" s="71"/>
      <c r="C22" s="60">
        <v>8391</v>
      </c>
      <c r="D22" s="77">
        <v>800</v>
      </c>
      <c r="E22" s="68" t="s">
        <v>34</v>
      </c>
      <c r="F22" s="76">
        <f>C22+D22</f>
        <v>9191</v>
      </c>
      <c r="G22" s="75">
        <f>SUM(F22-B11)</f>
        <v>480.2000000000007</v>
      </c>
      <c r="H22" s="59" t="s">
        <v>35</v>
      </c>
      <c r="I22" s="67"/>
    </row>
    <row r="23" spans="1:9" ht="15" customHeight="1">
      <c r="A23" s="261" t="s">
        <v>128</v>
      </c>
      <c r="B23" s="74" t="s">
        <v>40</v>
      </c>
      <c r="C23" s="60">
        <v>7579</v>
      </c>
      <c r="D23" s="77">
        <v>1000</v>
      </c>
      <c r="E23" s="68" t="s">
        <v>72</v>
      </c>
      <c r="F23" s="60">
        <f>SUM(C23+D23)</f>
        <v>8579</v>
      </c>
      <c r="G23" s="115">
        <f>SUM(F23-B13)</f>
        <v>879</v>
      </c>
      <c r="H23" s="59" t="s">
        <v>41</v>
      </c>
      <c r="I23" s="205"/>
    </row>
    <row r="24" spans="1:9" ht="15" customHeight="1">
      <c r="A24" s="262" t="s">
        <v>129</v>
      </c>
      <c r="B24" s="57" t="s">
        <v>40</v>
      </c>
      <c r="C24" s="60">
        <v>0</v>
      </c>
      <c r="D24" s="77"/>
      <c r="E24" s="68" t="s">
        <v>65</v>
      </c>
      <c r="F24" s="60">
        <f>SUM(C24+9000)</f>
        <v>9000</v>
      </c>
      <c r="G24" s="75">
        <f>SUM(F24-B13)</f>
        <v>1300</v>
      </c>
      <c r="H24" s="59" t="s">
        <v>41</v>
      </c>
      <c r="I24" s="23" t="s">
        <v>130</v>
      </c>
    </row>
    <row r="25" spans="1:9" ht="15" customHeight="1">
      <c r="A25" s="263" t="s">
        <v>153</v>
      </c>
      <c r="B25" s="126" t="s">
        <v>40</v>
      </c>
      <c r="C25" s="60">
        <v>8206</v>
      </c>
      <c r="D25" s="77"/>
      <c r="E25" s="60" t="s">
        <v>34</v>
      </c>
      <c r="F25" s="76">
        <f>SUM(C25+800)</f>
        <v>9006</v>
      </c>
      <c r="G25" s="75">
        <f>SUM(F25-B11)</f>
        <v>295.2000000000007</v>
      </c>
      <c r="H25" s="59" t="s">
        <v>35</v>
      </c>
      <c r="I25" s="23"/>
    </row>
    <row r="26" spans="1:9" ht="15" customHeight="1">
      <c r="A26" s="263" t="s">
        <v>222</v>
      </c>
      <c r="B26" s="126" t="s">
        <v>40</v>
      </c>
      <c r="C26" s="60">
        <v>2844</v>
      </c>
      <c r="D26" s="77"/>
      <c r="E26" s="60" t="s">
        <v>261</v>
      </c>
      <c r="F26" s="76">
        <f>SUM(C26+500)</f>
        <v>3344</v>
      </c>
      <c r="G26" s="75">
        <f>SUM(F26-B6)</f>
        <v>3310.3</v>
      </c>
      <c r="H26" s="59" t="s">
        <v>35</v>
      </c>
      <c r="I26" s="23"/>
    </row>
    <row r="27" spans="1:9" ht="15" customHeight="1">
      <c r="A27" s="263" t="s">
        <v>131</v>
      </c>
      <c r="B27" s="126" t="s">
        <v>40</v>
      </c>
      <c r="C27" s="60">
        <v>0</v>
      </c>
      <c r="D27" s="77"/>
      <c r="E27" s="68" t="s">
        <v>65</v>
      </c>
      <c r="F27" s="60">
        <f>SUM(C27+9000)</f>
        <v>9000</v>
      </c>
      <c r="G27" s="75">
        <f>SUM(F27-B13)</f>
        <v>1300</v>
      </c>
      <c r="H27" s="59" t="s">
        <v>41</v>
      </c>
      <c r="I27" s="23" t="s">
        <v>130</v>
      </c>
    </row>
    <row r="28" spans="1:9" ht="15" customHeight="1">
      <c r="A28" s="262" t="s">
        <v>83</v>
      </c>
      <c r="B28" s="126" t="s">
        <v>47</v>
      </c>
      <c r="C28" s="60">
        <v>5147</v>
      </c>
      <c r="D28" s="77">
        <v>5000</v>
      </c>
      <c r="E28" s="68" t="s">
        <v>61</v>
      </c>
      <c r="F28" s="60">
        <f>C28+D28</f>
        <v>10147</v>
      </c>
      <c r="G28" s="75">
        <f>SUM(F28-B13)</f>
        <v>2447</v>
      </c>
      <c r="H28" s="59" t="s">
        <v>41</v>
      </c>
      <c r="I28" s="23" t="s">
        <v>85</v>
      </c>
    </row>
    <row r="29" spans="1:9" ht="15" customHeight="1">
      <c r="A29" s="262" t="s">
        <v>84</v>
      </c>
      <c r="B29" s="126" t="s">
        <v>47</v>
      </c>
      <c r="C29" s="60">
        <v>0</v>
      </c>
      <c r="D29" s="77">
        <v>10000</v>
      </c>
      <c r="E29" s="68" t="s">
        <v>55</v>
      </c>
      <c r="F29" s="60">
        <f>C29+D29</f>
        <v>10000</v>
      </c>
      <c r="G29" s="75">
        <f>SUM(F29-B13)</f>
        <v>2300</v>
      </c>
      <c r="H29" s="59" t="s">
        <v>41</v>
      </c>
      <c r="I29" s="23" t="s">
        <v>86</v>
      </c>
    </row>
    <row r="30" spans="1:9" ht="15" customHeight="1">
      <c r="A30" s="258" t="s">
        <v>36</v>
      </c>
      <c r="B30" s="57" t="s">
        <v>42</v>
      </c>
      <c r="C30" s="78">
        <v>44995</v>
      </c>
      <c r="D30" s="77">
        <v>730</v>
      </c>
      <c r="E30" s="59" t="s">
        <v>87</v>
      </c>
      <c r="F30" s="68">
        <f>SUM(C30+D30)</f>
        <v>45725</v>
      </c>
      <c r="G30" s="69">
        <f>SUM(F30-B12)/30.4</f>
        <v>13.782894736842106</v>
      </c>
      <c r="H30" s="73" t="s">
        <v>49</v>
      </c>
      <c r="I30" s="210"/>
    </row>
    <row r="31" spans="1:9" ht="15" customHeight="1">
      <c r="A31" s="258" t="s">
        <v>37</v>
      </c>
      <c r="B31" s="57" t="s">
        <v>42</v>
      </c>
      <c r="C31" s="78">
        <v>44995</v>
      </c>
      <c r="D31" s="58">
        <v>730</v>
      </c>
      <c r="E31" s="59" t="s">
        <v>87</v>
      </c>
      <c r="F31" s="68">
        <f>SUM(C31+D31)</f>
        <v>45725</v>
      </c>
      <c r="G31" s="69">
        <f>SUM(F31-B12)/30.4</f>
        <v>13.782894736842106</v>
      </c>
      <c r="H31" s="73" t="s">
        <v>49</v>
      </c>
      <c r="I31" s="23"/>
    </row>
    <row r="32" spans="1:9" ht="15" customHeight="1">
      <c r="A32" s="258" t="s">
        <v>39</v>
      </c>
      <c r="B32" s="57" t="s">
        <v>42</v>
      </c>
      <c r="C32" s="78">
        <v>44995</v>
      </c>
      <c r="D32" s="58">
        <v>730</v>
      </c>
      <c r="E32" s="59" t="s">
        <v>87</v>
      </c>
      <c r="F32" s="68">
        <f>SUM(C32+D32)</f>
        <v>45725</v>
      </c>
      <c r="G32" s="69">
        <f>SUM(F32-B12)/30.4</f>
        <v>13.782894736842106</v>
      </c>
      <c r="H32" s="73" t="s">
        <v>49</v>
      </c>
      <c r="I32" s="23"/>
    </row>
    <row r="33" spans="1:9" ht="15" customHeight="1">
      <c r="A33" s="258" t="s">
        <v>38</v>
      </c>
      <c r="B33" s="57" t="s">
        <v>42</v>
      </c>
      <c r="C33" s="78">
        <v>44995</v>
      </c>
      <c r="D33" s="58">
        <v>730</v>
      </c>
      <c r="E33" s="59" t="s">
        <v>87</v>
      </c>
      <c r="F33" s="68">
        <f>SUM(C33+D33)</f>
        <v>45725</v>
      </c>
      <c r="G33" s="69">
        <f>SUM(F33-B12)/30.4</f>
        <v>13.782894736842106</v>
      </c>
      <c r="H33" s="73" t="s">
        <v>49</v>
      </c>
      <c r="I33" s="23"/>
    </row>
    <row r="34" spans="1:9" ht="15" customHeight="1">
      <c r="A34" s="108" t="s">
        <v>140</v>
      </c>
      <c r="B34" s="74" t="s">
        <v>257</v>
      </c>
      <c r="C34" s="76">
        <v>8587.3</v>
      </c>
      <c r="D34" s="58"/>
      <c r="E34" s="59" t="s">
        <v>34</v>
      </c>
      <c r="F34" s="76" t="s">
        <v>193</v>
      </c>
      <c r="G34" s="141" t="s">
        <v>193</v>
      </c>
      <c r="H34" s="73" t="s">
        <v>35</v>
      </c>
      <c r="I34" s="23" t="s">
        <v>192</v>
      </c>
    </row>
    <row r="35" spans="1:9" ht="15" customHeight="1">
      <c r="A35" s="124"/>
      <c r="B35" s="71"/>
      <c r="C35" s="78">
        <v>44995</v>
      </c>
      <c r="D35" s="58"/>
      <c r="E35" s="59" t="s">
        <v>52</v>
      </c>
      <c r="F35" s="78" t="s">
        <v>193</v>
      </c>
      <c r="G35" s="175" t="s">
        <v>193</v>
      </c>
      <c r="H35" s="73" t="s">
        <v>49</v>
      </c>
      <c r="I35" s="23" t="s">
        <v>203</v>
      </c>
    </row>
    <row r="36" spans="1:9" ht="15" customHeight="1">
      <c r="A36" s="269" t="s">
        <v>140</v>
      </c>
      <c r="B36" s="139" t="s">
        <v>256</v>
      </c>
      <c r="C36" s="218">
        <v>8587.3</v>
      </c>
      <c r="D36" s="220">
        <v>200</v>
      </c>
      <c r="E36" s="218" t="s">
        <v>82</v>
      </c>
      <c r="F36" s="218">
        <f>SUM(C36+200)</f>
        <v>8787.3</v>
      </c>
      <c r="G36" s="229">
        <f>SUM(F36-B11)</f>
        <v>76.5</v>
      </c>
      <c r="H36" s="73" t="s">
        <v>35</v>
      </c>
      <c r="I36" s="23" t="s">
        <v>183</v>
      </c>
    </row>
    <row r="37" spans="1:9" ht="15" customHeight="1">
      <c r="A37" s="257" t="s">
        <v>227</v>
      </c>
      <c r="B37" s="71"/>
      <c r="C37" s="78">
        <v>44995</v>
      </c>
      <c r="D37" s="58">
        <v>365</v>
      </c>
      <c r="E37" s="59" t="s">
        <v>202</v>
      </c>
      <c r="F37" s="68">
        <f>SUM(C37+D37)</f>
        <v>45360</v>
      </c>
      <c r="G37" s="104">
        <f>SUM(F37-B12)/30.4</f>
        <v>1.7763157894736843</v>
      </c>
      <c r="H37" s="73" t="s">
        <v>49</v>
      </c>
      <c r="I37" s="249"/>
    </row>
    <row r="38" spans="1:9" ht="15" customHeight="1">
      <c r="A38" s="270" t="s">
        <v>147</v>
      </c>
      <c r="B38" s="71" t="s">
        <v>43</v>
      </c>
      <c r="C38" s="78">
        <v>44995</v>
      </c>
      <c r="D38" s="58"/>
      <c r="E38" s="59" t="s">
        <v>52</v>
      </c>
      <c r="F38" s="68">
        <f>SUM(C38+365)</f>
        <v>45360</v>
      </c>
      <c r="G38" s="104">
        <f>SUM(F38-B12)/30.4</f>
        <v>1.7763157894736843</v>
      </c>
      <c r="H38" s="73" t="s">
        <v>49</v>
      </c>
      <c r="I38" s="153"/>
    </row>
    <row r="39" spans="1:9" ht="15" customHeight="1">
      <c r="A39" s="258" t="s">
        <v>3</v>
      </c>
      <c r="B39" s="57" t="s">
        <v>43</v>
      </c>
      <c r="C39" s="78" t="s">
        <v>152</v>
      </c>
      <c r="D39" s="58">
        <v>730</v>
      </c>
      <c r="E39" s="59" t="s">
        <v>87</v>
      </c>
      <c r="F39" s="68" t="e">
        <f aca="true" t="shared" si="0" ref="F39:F50">SUM(C39+D39)</f>
        <v>#VALUE!</v>
      </c>
      <c r="G39" s="69" t="e">
        <f>SUM(F39-B12)/30.4</f>
        <v>#VALUE!</v>
      </c>
      <c r="H39" s="73" t="s">
        <v>49</v>
      </c>
      <c r="I39" s="23" t="s">
        <v>204</v>
      </c>
    </row>
    <row r="40" spans="1:9" ht="15" customHeight="1">
      <c r="A40" s="258" t="s">
        <v>46</v>
      </c>
      <c r="B40" s="57" t="s">
        <v>47</v>
      </c>
      <c r="C40" s="78" t="s">
        <v>152</v>
      </c>
      <c r="D40" s="58"/>
      <c r="E40" s="59" t="s">
        <v>48</v>
      </c>
      <c r="F40" s="68" t="e">
        <f>SUM(C40+730)</f>
        <v>#VALUE!</v>
      </c>
      <c r="G40" s="69" t="e">
        <f>SUM(F40-B12)/30.4</f>
        <v>#VALUE!</v>
      </c>
      <c r="H40" s="73" t="s">
        <v>49</v>
      </c>
      <c r="I40" s="23" t="s">
        <v>204</v>
      </c>
    </row>
    <row r="41" spans="1:9" ht="15" customHeight="1">
      <c r="A41" s="272" t="s">
        <v>93</v>
      </c>
      <c r="B41" s="74" t="s">
        <v>40</v>
      </c>
      <c r="C41" s="218">
        <v>8206</v>
      </c>
      <c r="D41" s="220">
        <v>2000</v>
      </c>
      <c r="E41" s="218" t="s">
        <v>94</v>
      </c>
      <c r="F41" s="218">
        <f>SUM(C41+D41)</f>
        <v>10206</v>
      </c>
      <c r="G41" s="219">
        <f>SUM(F41-B11)</f>
        <v>1495.2000000000007</v>
      </c>
      <c r="H41" s="73" t="s">
        <v>35</v>
      </c>
      <c r="I41" s="23"/>
    </row>
    <row r="42" spans="1:9" ht="15" customHeight="1">
      <c r="A42" s="257"/>
      <c r="B42" s="71"/>
      <c r="C42" s="78">
        <v>44119</v>
      </c>
      <c r="D42" s="58">
        <v>1460</v>
      </c>
      <c r="E42" s="59" t="s">
        <v>95</v>
      </c>
      <c r="F42" s="68">
        <f>SUM(C42+D42)</f>
        <v>45579</v>
      </c>
      <c r="G42" s="104">
        <f>SUM(F42-B12)/30.4</f>
        <v>8.980263157894738</v>
      </c>
      <c r="H42" s="73" t="s">
        <v>49</v>
      </c>
      <c r="I42" s="203"/>
    </row>
    <row r="43" spans="1:9" ht="15" customHeight="1">
      <c r="A43" s="271" t="s">
        <v>50</v>
      </c>
      <c r="B43" s="57" t="s">
        <v>51</v>
      </c>
      <c r="C43" s="78">
        <v>44995</v>
      </c>
      <c r="D43" s="58">
        <v>365</v>
      </c>
      <c r="E43" s="59" t="s">
        <v>52</v>
      </c>
      <c r="F43" s="68">
        <f t="shared" si="0"/>
        <v>45360</v>
      </c>
      <c r="G43" s="104">
        <f>SUM(F43-B12)/30.4</f>
        <v>1.7763157894736843</v>
      </c>
      <c r="H43" s="59" t="s">
        <v>49</v>
      </c>
      <c r="I43" s="23" t="s">
        <v>161</v>
      </c>
    </row>
    <row r="44" spans="1:9" ht="15" customHeight="1">
      <c r="A44" s="258" t="s">
        <v>53</v>
      </c>
      <c r="B44" s="57" t="s">
        <v>47</v>
      </c>
      <c r="C44" s="78">
        <v>44331</v>
      </c>
      <c r="D44" s="58"/>
      <c r="E44" s="59" t="s">
        <v>48</v>
      </c>
      <c r="F44" s="68">
        <v>47284</v>
      </c>
      <c r="G44" s="69">
        <f>SUM(F44-B12)/30.4</f>
        <v>65.06578947368422</v>
      </c>
      <c r="H44" s="59" t="s">
        <v>49</v>
      </c>
      <c r="I44" s="23"/>
    </row>
    <row r="45" spans="1:9" ht="15" customHeight="1">
      <c r="A45" s="258" t="s">
        <v>154</v>
      </c>
      <c r="B45" s="57" t="s">
        <v>47</v>
      </c>
      <c r="C45" s="218">
        <v>8587.3</v>
      </c>
      <c r="D45" s="220"/>
      <c r="E45" s="218" t="s">
        <v>122</v>
      </c>
      <c r="F45" s="218">
        <f>SUM(C45+400)</f>
        <v>8987.3</v>
      </c>
      <c r="G45" s="229">
        <f>SUM(F45-B11)</f>
        <v>276.5</v>
      </c>
      <c r="H45" s="59" t="s">
        <v>35</v>
      </c>
      <c r="I45" s="23" t="s">
        <v>259</v>
      </c>
    </row>
    <row r="46" spans="1:9" ht="15" customHeight="1">
      <c r="A46" s="63" t="s">
        <v>54</v>
      </c>
      <c r="B46" s="57" t="s">
        <v>40</v>
      </c>
      <c r="C46" s="60">
        <v>0</v>
      </c>
      <c r="D46" s="58">
        <v>10000</v>
      </c>
      <c r="E46" s="59" t="s">
        <v>55</v>
      </c>
      <c r="F46" s="60">
        <f>SUM(C46+D46)</f>
        <v>10000</v>
      </c>
      <c r="G46" s="69">
        <f>SUM(F46-B13)</f>
        <v>2300</v>
      </c>
      <c r="H46" s="59" t="s">
        <v>41</v>
      </c>
      <c r="I46" s="23" t="s">
        <v>63</v>
      </c>
    </row>
    <row r="47" spans="1:9" ht="15" customHeight="1">
      <c r="A47" s="63" t="s">
        <v>56</v>
      </c>
      <c r="B47" s="70" t="s">
        <v>44</v>
      </c>
      <c r="C47" s="78">
        <v>43845</v>
      </c>
      <c r="D47" s="58">
        <v>4380</v>
      </c>
      <c r="E47" s="59" t="s">
        <v>88</v>
      </c>
      <c r="F47" s="68">
        <f t="shared" si="0"/>
        <v>48225</v>
      </c>
      <c r="G47" s="104">
        <f>SUM(F47-B12)/30.4</f>
        <v>96.01973684210527</v>
      </c>
      <c r="H47" s="59" t="s">
        <v>49</v>
      </c>
      <c r="I47" s="23"/>
    </row>
    <row r="48" spans="1:9" ht="15" customHeight="1">
      <c r="A48" s="63" t="s">
        <v>57</v>
      </c>
      <c r="B48" s="70" t="s">
        <v>44</v>
      </c>
      <c r="C48" s="78">
        <v>43845</v>
      </c>
      <c r="D48" s="58">
        <v>4380</v>
      </c>
      <c r="E48" s="59" t="s">
        <v>88</v>
      </c>
      <c r="F48" s="68">
        <f t="shared" si="0"/>
        <v>48225</v>
      </c>
      <c r="G48" s="104">
        <f>SUM(F48-B12)/30.4</f>
        <v>96.01973684210527</v>
      </c>
      <c r="H48" s="59" t="s">
        <v>49</v>
      </c>
      <c r="I48" s="23"/>
    </row>
    <row r="49" spans="1:9" ht="15" customHeight="1">
      <c r="A49" s="63" t="s">
        <v>58</v>
      </c>
      <c r="B49" s="57" t="s">
        <v>40</v>
      </c>
      <c r="C49" s="60">
        <v>5147</v>
      </c>
      <c r="D49" s="58">
        <v>5000</v>
      </c>
      <c r="E49" s="59" t="s">
        <v>61</v>
      </c>
      <c r="F49" s="59">
        <f t="shared" si="0"/>
        <v>10147</v>
      </c>
      <c r="G49" s="56">
        <f>SUM(F49-B13)</f>
        <v>2447</v>
      </c>
      <c r="H49" s="59" t="s">
        <v>41</v>
      </c>
      <c r="I49" s="23" t="s">
        <v>59</v>
      </c>
    </row>
    <row r="50" spans="1:9" ht="15" customHeight="1">
      <c r="A50" s="63" t="s">
        <v>60</v>
      </c>
      <c r="B50" s="57" t="s">
        <v>40</v>
      </c>
      <c r="C50" s="60">
        <v>0</v>
      </c>
      <c r="D50" s="58">
        <v>10000</v>
      </c>
      <c r="E50" s="59" t="s">
        <v>55</v>
      </c>
      <c r="F50" s="59">
        <f t="shared" si="0"/>
        <v>10000</v>
      </c>
      <c r="G50" s="56">
        <f>SUM(F50-B13)</f>
        <v>2300</v>
      </c>
      <c r="H50" s="59" t="s">
        <v>41</v>
      </c>
      <c r="I50" s="23" t="s">
        <v>62</v>
      </c>
    </row>
    <row r="51" spans="1:9" ht="15" customHeight="1">
      <c r="A51" s="256" t="s">
        <v>219</v>
      </c>
      <c r="B51" s="127" t="s">
        <v>45</v>
      </c>
      <c r="C51" s="218">
        <v>8587.3</v>
      </c>
      <c r="D51" s="220">
        <v>2400</v>
      </c>
      <c r="E51" s="218" t="s">
        <v>89</v>
      </c>
      <c r="F51" s="218">
        <f>SUM(C51+D51)</f>
        <v>10987.3</v>
      </c>
      <c r="G51" s="219">
        <f>SUM(F51-B11)</f>
        <v>2276.5</v>
      </c>
      <c r="H51" s="59" t="s">
        <v>35</v>
      </c>
      <c r="I51" s="23"/>
    </row>
    <row r="52" spans="1:9" ht="15" customHeight="1">
      <c r="A52" s="140"/>
      <c r="B52" s="128" t="s">
        <v>40</v>
      </c>
      <c r="C52" s="78">
        <v>45056</v>
      </c>
      <c r="D52" s="58">
        <v>930</v>
      </c>
      <c r="E52" s="59" t="s">
        <v>90</v>
      </c>
      <c r="F52" s="68">
        <f>SUM(C52+D52)</f>
        <v>45986</v>
      </c>
      <c r="G52" s="104">
        <f>SUM(F52-B12)/30.4</f>
        <v>22.36842105263158</v>
      </c>
      <c r="H52" s="59" t="s">
        <v>49</v>
      </c>
      <c r="I52" s="249"/>
    </row>
    <row r="53" spans="1:9" ht="15" customHeight="1">
      <c r="A53" s="108" t="s">
        <v>64</v>
      </c>
      <c r="B53" s="74" t="s">
        <v>40</v>
      </c>
      <c r="C53" s="60">
        <v>6144</v>
      </c>
      <c r="D53" s="58">
        <v>9000</v>
      </c>
      <c r="E53" s="59" t="s">
        <v>168</v>
      </c>
      <c r="F53" s="60" t="s">
        <v>193</v>
      </c>
      <c r="G53" s="175" t="s">
        <v>193</v>
      </c>
      <c r="H53" s="59" t="s">
        <v>41</v>
      </c>
      <c r="I53" s="23" t="s">
        <v>205</v>
      </c>
    </row>
    <row r="54" spans="1:9" ht="15" customHeight="1">
      <c r="A54" s="124"/>
      <c r="B54" s="71"/>
      <c r="C54" s="60">
        <v>6144</v>
      </c>
      <c r="D54" s="58"/>
      <c r="E54" s="59" t="s">
        <v>196</v>
      </c>
      <c r="F54" s="60">
        <f>SUM(C54+3000)</f>
        <v>9144</v>
      </c>
      <c r="G54" s="69">
        <f>SUM(F54-B13)</f>
        <v>1444</v>
      </c>
      <c r="H54" s="59" t="s">
        <v>41</v>
      </c>
      <c r="I54" s="23" t="s">
        <v>206</v>
      </c>
    </row>
    <row r="55" spans="1:9" ht="15" customHeight="1">
      <c r="A55" s="63" t="s">
        <v>162</v>
      </c>
      <c r="B55" s="57" t="s">
        <v>47</v>
      </c>
      <c r="C55" s="218">
        <v>8391</v>
      </c>
      <c r="D55" s="220"/>
      <c r="E55" s="218" t="s">
        <v>34</v>
      </c>
      <c r="F55" s="218">
        <f>SUM(C55+800)</f>
        <v>9191</v>
      </c>
      <c r="G55" s="219">
        <f>SUM(F55-B11)</f>
        <v>480.2000000000007</v>
      </c>
      <c r="H55" s="59" t="s">
        <v>35</v>
      </c>
      <c r="I55" s="23"/>
    </row>
    <row r="56" spans="1:9" ht="15" customHeight="1">
      <c r="A56" s="161"/>
      <c r="B56" s="31"/>
      <c r="C56" s="162"/>
      <c r="D56" s="162"/>
      <c r="E56" s="28"/>
      <c r="F56" s="36"/>
      <c r="G56" s="163"/>
      <c r="H56" s="164"/>
      <c r="I56" s="28"/>
    </row>
    <row r="57" spans="1:9" ht="15" customHeight="1">
      <c r="A57" s="166" t="s">
        <v>27</v>
      </c>
      <c r="B57" s="167" t="s">
        <v>76</v>
      </c>
      <c r="C57" s="168" t="s">
        <v>127</v>
      </c>
      <c r="D57" s="168"/>
      <c r="E57" s="166" t="s">
        <v>77</v>
      </c>
      <c r="F57" s="170" t="s">
        <v>126</v>
      </c>
      <c r="G57" s="171" t="s">
        <v>125</v>
      </c>
      <c r="H57" s="169"/>
      <c r="I57" s="170" t="s">
        <v>78</v>
      </c>
    </row>
    <row r="58" spans="1:9" ht="15" customHeight="1">
      <c r="A58" s="63" t="s">
        <v>188</v>
      </c>
      <c r="B58" s="152" t="s">
        <v>47</v>
      </c>
      <c r="C58" s="252">
        <v>44027</v>
      </c>
      <c r="D58" s="159"/>
      <c r="E58" s="23" t="s">
        <v>75</v>
      </c>
      <c r="F58" s="160">
        <f>SUM(C58+1825)</f>
        <v>45852</v>
      </c>
      <c r="G58" s="69">
        <f>SUM(F58-B12)/30.4</f>
        <v>17.960526315789476</v>
      </c>
      <c r="H58" s="59" t="s">
        <v>49</v>
      </c>
      <c r="I58" s="23"/>
    </row>
    <row r="59" spans="1:9" ht="15" customHeight="1">
      <c r="A59" s="63" t="s">
        <v>71</v>
      </c>
      <c r="B59" s="57" t="s">
        <v>40</v>
      </c>
      <c r="C59" s="60">
        <v>7579</v>
      </c>
      <c r="D59" s="58">
        <v>1000</v>
      </c>
      <c r="E59" s="59" t="s">
        <v>72</v>
      </c>
      <c r="F59" s="59">
        <f>C59+D59</f>
        <v>8579</v>
      </c>
      <c r="G59" s="56">
        <f>F59-B13</f>
        <v>879</v>
      </c>
      <c r="H59" s="59" t="s">
        <v>41</v>
      </c>
      <c r="I59" s="172"/>
    </row>
    <row r="60" spans="1:9" ht="15" customHeight="1">
      <c r="A60" s="258" t="s">
        <v>164</v>
      </c>
      <c r="B60" s="57" t="s">
        <v>163</v>
      </c>
      <c r="C60" s="218">
        <v>8587.3</v>
      </c>
      <c r="D60" s="220"/>
      <c r="E60" s="218" t="s">
        <v>82</v>
      </c>
      <c r="F60" s="218">
        <f>SUM(C60+200)</f>
        <v>8787.3</v>
      </c>
      <c r="G60" s="229">
        <f>SUM(F60-B11)</f>
        <v>76.5</v>
      </c>
      <c r="H60" s="59" t="s">
        <v>35</v>
      </c>
      <c r="I60" s="23"/>
    </row>
    <row r="61" spans="1:9" ht="15" customHeight="1">
      <c r="A61" s="258" t="s">
        <v>165</v>
      </c>
      <c r="B61" s="57" t="s">
        <v>163</v>
      </c>
      <c r="C61" s="218">
        <v>8587.3</v>
      </c>
      <c r="D61" s="220"/>
      <c r="E61" s="218" t="s">
        <v>122</v>
      </c>
      <c r="F61" s="218">
        <f>SUM(C61+400)</f>
        <v>8987.3</v>
      </c>
      <c r="G61" s="219">
        <f>SUM(F61-B11)</f>
        <v>276.5</v>
      </c>
      <c r="H61" s="59" t="s">
        <v>35</v>
      </c>
      <c r="I61" s="23"/>
    </row>
    <row r="62" spans="1:9" ht="15" customHeight="1">
      <c r="A62" s="258" t="s">
        <v>166</v>
      </c>
      <c r="B62" s="57" t="s">
        <v>163</v>
      </c>
      <c r="C62" s="218">
        <v>8187</v>
      </c>
      <c r="D62" s="220"/>
      <c r="E62" s="218" t="s">
        <v>34</v>
      </c>
      <c r="F62" s="218">
        <f>SUM(C62+800)</f>
        <v>8987</v>
      </c>
      <c r="G62" s="219">
        <f>SUM(F62-B11)</f>
        <v>276.2000000000007</v>
      </c>
      <c r="H62" s="59" t="s">
        <v>35</v>
      </c>
      <c r="I62" s="23"/>
    </row>
    <row r="63" spans="1:9" ht="15" customHeight="1" thickBot="1">
      <c r="A63" s="259" t="s">
        <v>167</v>
      </c>
      <c r="B63" s="74" t="s">
        <v>163</v>
      </c>
      <c r="C63" s="221">
        <v>8587.3</v>
      </c>
      <c r="D63" s="222"/>
      <c r="E63" s="221" t="s">
        <v>68</v>
      </c>
      <c r="F63" s="221">
        <f>SUM(C63+1200)</f>
        <v>9787.3</v>
      </c>
      <c r="G63" s="223">
        <f>SUM(F63-B11)</f>
        <v>1076.5</v>
      </c>
      <c r="H63" s="149" t="s">
        <v>35</v>
      </c>
      <c r="I63" s="48"/>
    </row>
    <row r="64" spans="1:9" ht="15" customHeight="1" thickTop="1">
      <c r="A64" s="248" t="s">
        <v>73</v>
      </c>
      <c r="B64" s="190" t="s">
        <v>40</v>
      </c>
      <c r="C64" s="191">
        <v>7579</v>
      </c>
      <c r="D64" s="192">
        <v>8000</v>
      </c>
      <c r="E64" s="193" t="s">
        <v>79</v>
      </c>
      <c r="F64" s="191">
        <f>SUM(C64+D64)</f>
        <v>15579</v>
      </c>
      <c r="G64" s="194">
        <f>SUM(F64-B13)</f>
        <v>7879</v>
      </c>
      <c r="H64" s="193" t="s">
        <v>41</v>
      </c>
      <c r="I64" s="179"/>
    </row>
    <row r="65" spans="1:9" ht="15" customHeight="1">
      <c r="A65" s="57" t="s">
        <v>81</v>
      </c>
      <c r="B65" s="59"/>
      <c r="C65" s="78">
        <v>44027</v>
      </c>
      <c r="D65" s="58">
        <v>2190</v>
      </c>
      <c r="E65" s="59" t="s">
        <v>70</v>
      </c>
      <c r="F65" s="68">
        <f>SUM(C65+D65)</f>
        <v>46217</v>
      </c>
      <c r="G65" s="69">
        <f>SUM(F65-B12)/30.4</f>
        <v>29.967105263157897</v>
      </c>
      <c r="H65" s="59" t="s">
        <v>49</v>
      </c>
      <c r="I65" s="214"/>
    </row>
    <row r="66" spans="1:9" ht="15" customHeight="1">
      <c r="A66" s="63" t="s">
        <v>66</v>
      </c>
      <c r="B66" s="195" t="s">
        <v>67</v>
      </c>
      <c r="C66" s="76">
        <v>8282</v>
      </c>
      <c r="D66" s="58">
        <v>1200</v>
      </c>
      <c r="E66" s="59" t="s">
        <v>68</v>
      </c>
      <c r="F66" s="76">
        <f>C66+D66</f>
        <v>9482</v>
      </c>
      <c r="G66" s="255">
        <f>F66-B11</f>
        <v>771.2000000000007</v>
      </c>
      <c r="H66" s="59" t="s">
        <v>35</v>
      </c>
      <c r="I66" s="203"/>
    </row>
    <row r="67" spans="1:9" ht="15" customHeight="1">
      <c r="A67" s="56"/>
      <c r="B67" s="195"/>
      <c r="C67" s="60">
        <v>7646</v>
      </c>
      <c r="D67" s="58"/>
      <c r="E67" s="59" t="s">
        <v>72</v>
      </c>
      <c r="F67" s="60">
        <f>SUM(C67+1000)</f>
        <v>8646</v>
      </c>
      <c r="G67" s="104">
        <f>SUM(F67-B13)</f>
        <v>946</v>
      </c>
      <c r="H67" s="59" t="s">
        <v>41</v>
      </c>
      <c r="I67" s="23"/>
    </row>
    <row r="68" spans="1:9" ht="15" customHeight="1">
      <c r="A68" s="108" t="s">
        <v>221</v>
      </c>
      <c r="B68" s="127" t="s">
        <v>67</v>
      </c>
      <c r="C68" s="207">
        <v>8282</v>
      </c>
      <c r="D68" s="148"/>
      <c r="E68" s="149" t="s">
        <v>34</v>
      </c>
      <c r="F68" s="207">
        <f>SUM(C68+800)</f>
        <v>9082</v>
      </c>
      <c r="G68" s="115">
        <f>SUM(F68-B11)</f>
        <v>371.2000000000007</v>
      </c>
      <c r="H68" s="149" t="s">
        <v>35</v>
      </c>
      <c r="I68" s="251"/>
    </row>
    <row r="69" spans="1:9" ht="15" customHeight="1" thickBot="1">
      <c r="A69" s="211" t="s">
        <v>74</v>
      </c>
      <c r="B69" s="196" t="s">
        <v>47</v>
      </c>
      <c r="C69" s="197">
        <v>44666</v>
      </c>
      <c r="D69" s="198">
        <v>3648</v>
      </c>
      <c r="E69" s="199" t="s">
        <v>80</v>
      </c>
      <c r="F69" s="200">
        <f>SUM(C69+D69)</f>
        <v>48314</v>
      </c>
      <c r="G69" s="208">
        <f>SUM(F69-B12)/30.4</f>
        <v>98.94736842105263</v>
      </c>
      <c r="H69" s="199" t="s">
        <v>49</v>
      </c>
      <c r="I69" s="206"/>
    </row>
    <row r="70" spans="1:9" ht="15" customHeight="1" thickTop="1">
      <c r="A70" s="79" t="s">
        <v>92</v>
      </c>
      <c r="B70" s="139" t="s">
        <v>40</v>
      </c>
      <c r="C70" s="81" t="s">
        <v>152</v>
      </c>
      <c r="D70" s="80">
        <v>8000</v>
      </c>
      <c r="E70" s="81" t="s">
        <v>79</v>
      </c>
      <c r="F70" s="81" t="e">
        <f>SUM(C70+D70)</f>
        <v>#VALUE!</v>
      </c>
      <c r="G70" s="81" t="e">
        <f>SUM(F70-B13)</f>
        <v>#VALUE!</v>
      </c>
      <c r="H70" s="82" t="s">
        <v>41</v>
      </c>
      <c r="I70" s="43"/>
    </row>
    <row r="71" spans="1:9" ht="15" customHeight="1">
      <c r="A71" s="71" t="s">
        <v>81</v>
      </c>
      <c r="B71" s="81"/>
      <c r="C71" s="78" t="s">
        <v>152</v>
      </c>
      <c r="D71" s="58">
        <v>2190</v>
      </c>
      <c r="E71" s="59" t="s">
        <v>70</v>
      </c>
      <c r="F71" s="68" t="e">
        <f>SUM(C71+D71)</f>
        <v>#VALUE!</v>
      </c>
      <c r="G71" s="60" t="e">
        <f>SUM(F71-B12)/30.4</f>
        <v>#VALUE!</v>
      </c>
      <c r="H71" s="83" t="s">
        <v>49</v>
      </c>
      <c r="I71" s="23"/>
    </row>
    <row r="72" spans="1:9" ht="15" customHeight="1">
      <c r="A72" s="84" t="s">
        <v>96</v>
      </c>
      <c r="B72" s="85" t="s">
        <v>40</v>
      </c>
      <c r="C72" s="59" t="s">
        <v>152</v>
      </c>
      <c r="D72" s="58">
        <v>8000</v>
      </c>
      <c r="E72" s="59" t="s">
        <v>79</v>
      </c>
      <c r="F72" s="59" t="e">
        <f>SUM(C72+D72)</f>
        <v>#VALUE!</v>
      </c>
      <c r="G72" s="56" t="e">
        <f>SUM(F72-B13)</f>
        <v>#VALUE!</v>
      </c>
      <c r="H72" s="73" t="s">
        <v>41</v>
      </c>
      <c r="I72" s="23"/>
    </row>
    <row r="73" spans="1:9" ht="15" customHeight="1">
      <c r="A73" s="86" t="s">
        <v>103</v>
      </c>
      <c r="B73" s="87"/>
      <c r="C73" s="78" t="s">
        <v>152</v>
      </c>
      <c r="D73" s="58">
        <v>2190</v>
      </c>
      <c r="E73" s="59" t="s">
        <v>70</v>
      </c>
      <c r="F73" s="68" t="e">
        <f>SUM(C73+D73)</f>
        <v>#VALUE!</v>
      </c>
      <c r="G73" s="69" t="e">
        <f>SUM(F73-B12)/30.4</f>
        <v>#VALUE!</v>
      </c>
      <c r="H73" s="73" t="s">
        <v>49</v>
      </c>
      <c r="I73" s="23"/>
    </row>
    <row r="74" spans="1:9" ht="15" customHeight="1">
      <c r="A74" s="84" t="s">
        <v>97</v>
      </c>
      <c r="B74" s="85" t="s">
        <v>40</v>
      </c>
      <c r="C74" s="59" t="s">
        <v>152</v>
      </c>
      <c r="D74" s="58">
        <v>1000</v>
      </c>
      <c r="E74" s="59" t="s">
        <v>72</v>
      </c>
      <c r="F74" s="59" t="e">
        <f>C74+D74</f>
        <v>#VALUE!</v>
      </c>
      <c r="G74" s="69" t="e">
        <f>F74-B13</f>
        <v>#VALUE!</v>
      </c>
      <c r="H74" s="59" t="s">
        <v>41</v>
      </c>
      <c r="I74" s="23"/>
    </row>
    <row r="75" spans="1:9" ht="15" customHeight="1">
      <c r="A75" s="86" t="s">
        <v>103</v>
      </c>
      <c r="B75" s="87"/>
      <c r="C75" s="78" t="s">
        <v>152</v>
      </c>
      <c r="D75" s="58">
        <v>912</v>
      </c>
      <c r="E75" s="59" t="s">
        <v>90</v>
      </c>
      <c r="F75" s="68" t="e">
        <f>C75+D75</f>
        <v>#VALUE!</v>
      </c>
      <c r="G75" s="88" t="e">
        <f>SUM(F75-B12)/30.4</f>
        <v>#VALUE!</v>
      </c>
      <c r="H75" s="59" t="s">
        <v>49</v>
      </c>
      <c r="I75" s="23"/>
    </row>
    <row r="76" spans="1:9" ht="15" customHeight="1">
      <c r="A76" s="89" t="s">
        <v>98</v>
      </c>
      <c r="B76" s="90" t="s">
        <v>69</v>
      </c>
      <c r="C76" s="91" t="s">
        <v>152</v>
      </c>
      <c r="D76" s="66">
        <v>8000</v>
      </c>
      <c r="E76" s="67" t="s">
        <v>79</v>
      </c>
      <c r="F76" s="67" t="e">
        <f>C76+D76</f>
        <v>#VALUE!</v>
      </c>
      <c r="G76" s="63" t="e">
        <f>SUM(F76-B13)</f>
        <v>#VALUE!</v>
      </c>
      <c r="H76" s="67" t="s">
        <v>41</v>
      </c>
      <c r="I76" s="23"/>
    </row>
    <row r="77" spans="1:9" ht="15" customHeight="1" thickBot="1">
      <c r="A77" s="92"/>
      <c r="B77" s="93"/>
      <c r="C77" s="94" t="s">
        <v>152</v>
      </c>
      <c r="D77" s="95">
        <v>2190</v>
      </c>
      <c r="E77" s="96" t="s">
        <v>70</v>
      </c>
      <c r="F77" s="97" t="e">
        <f>C77+D77</f>
        <v>#VALUE!</v>
      </c>
      <c r="G77" s="98" t="e">
        <f>SUM(F77-B12)/30.4</f>
        <v>#VALUE!</v>
      </c>
      <c r="H77" s="96" t="s">
        <v>49</v>
      </c>
      <c r="I77" s="41"/>
    </row>
    <row r="78" spans="1:9" ht="15" customHeight="1">
      <c r="A78" s="158" t="s">
        <v>185</v>
      </c>
      <c r="B78" s="157" t="s">
        <v>40</v>
      </c>
      <c r="C78" s="224">
        <v>0</v>
      </c>
      <c r="D78" s="225"/>
      <c r="E78" s="224" t="s">
        <v>186</v>
      </c>
      <c r="F78" s="224">
        <f>SUM(C78+10000)</f>
        <v>10000</v>
      </c>
      <c r="G78" s="226">
        <f>SUM(F78-B11)</f>
        <v>1289.2000000000007</v>
      </c>
      <c r="H78" s="155" t="s">
        <v>35</v>
      </c>
      <c r="I78" s="156"/>
    </row>
    <row r="79" spans="1:9" ht="15" customHeight="1">
      <c r="A79" s="106"/>
      <c r="B79" s="118" t="s">
        <v>47</v>
      </c>
      <c r="C79" s="227">
        <v>0</v>
      </c>
      <c r="D79" s="228"/>
      <c r="E79" s="227" t="s">
        <v>187</v>
      </c>
      <c r="F79" s="227">
        <f>SUM(C79+20000)</f>
        <v>20000</v>
      </c>
      <c r="G79" s="229">
        <f>SUM(F79-B11)</f>
        <v>11289.2</v>
      </c>
      <c r="H79" s="67" t="s">
        <v>35</v>
      </c>
      <c r="I79" s="23"/>
    </row>
    <row r="80" spans="1:9" ht="15" customHeight="1">
      <c r="A80" s="273" t="s">
        <v>143</v>
      </c>
      <c r="B80" s="64" t="s">
        <v>44</v>
      </c>
      <c r="C80" s="102">
        <v>44362</v>
      </c>
      <c r="D80" s="66">
        <v>1095</v>
      </c>
      <c r="E80" s="67" t="s">
        <v>104</v>
      </c>
      <c r="F80" s="103">
        <f>SUM(C80+D80)</f>
        <v>45457</v>
      </c>
      <c r="G80" s="104">
        <f>SUM(F80-B12)/30.4</f>
        <v>4.967105263157895</v>
      </c>
      <c r="H80" s="105" t="s">
        <v>49</v>
      </c>
      <c r="I80" s="204"/>
    </row>
    <row r="81" spans="1:9" ht="15" customHeight="1">
      <c r="A81" s="106"/>
      <c r="B81" s="64" t="s">
        <v>47</v>
      </c>
      <c r="C81" s="102">
        <v>39706</v>
      </c>
      <c r="D81" s="66">
        <v>8820</v>
      </c>
      <c r="E81" s="67" t="s">
        <v>105</v>
      </c>
      <c r="F81" s="103">
        <f>SUM(C81+D81)</f>
        <v>48526</v>
      </c>
      <c r="G81" s="104">
        <f>SUM(F81-B12)/30.4</f>
        <v>105.92105263157896</v>
      </c>
      <c r="H81" s="105" t="s">
        <v>49</v>
      </c>
      <c r="I81" s="23"/>
    </row>
    <row r="82" spans="1:9" ht="15" customHeight="1">
      <c r="A82" s="274" t="s">
        <v>99</v>
      </c>
      <c r="B82" s="64" t="s">
        <v>69</v>
      </c>
      <c r="C82" s="102">
        <v>44362</v>
      </c>
      <c r="D82" s="66">
        <v>1825</v>
      </c>
      <c r="E82" s="67" t="s">
        <v>104</v>
      </c>
      <c r="F82" s="103">
        <f>SUM(C82+1095)</f>
        <v>45457</v>
      </c>
      <c r="G82" s="104">
        <f>SUM(F82-B12)/30.4</f>
        <v>4.967105263157895</v>
      </c>
      <c r="H82" s="105" t="s">
        <v>49</v>
      </c>
      <c r="I82" s="204"/>
    </row>
    <row r="83" spans="1:9" ht="15" customHeight="1">
      <c r="A83" s="262" t="s">
        <v>100</v>
      </c>
      <c r="B83" s="64" t="s">
        <v>40</v>
      </c>
      <c r="C83" s="227">
        <v>8587.3</v>
      </c>
      <c r="D83" s="228">
        <v>1200</v>
      </c>
      <c r="E83" s="227" t="s">
        <v>68</v>
      </c>
      <c r="F83" s="227">
        <f>SUM(C83+D83)</f>
        <v>9787.3</v>
      </c>
      <c r="G83" s="229">
        <f>SUM(F83-B11)</f>
        <v>1076.5</v>
      </c>
      <c r="H83" s="105" t="s">
        <v>35</v>
      </c>
      <c r="I83" s="23"/>
    </row>
    <row r="84" spans="1:9" ht="15" customHeight="1">
      <c r="A84" s="258" t="s">
        <v>197</v>
      </c>
      <c r="B84" s="64" t="s">
        <v>155</v>
      </c>
      <c r="C84" s="227">
        <v>8587.3</v>
      </c>
      <c r="D84" s="228"/>
      <c r="E84" s="227" t="s">
        <v>34</v>
      </c>
      <c r="F84" s="227">
        <f>SUM(C84+800)</f>
        <v>9387.3</v>
      </c>
      <c r="G84" s="229">
        <f>SUM(F84-B11)</f>
        <v>676.5</v>
      </c>
      <c r="H84" s="105" t="s">
        <v>35</v>
      </c>
      <c r="I84" s="23"/>
    </row>
    <row r="85" spans="1:9" ht="15" customHeight="1">
      <c r="A85" s="258" t="s">
        <v>201</v>
      </c>
      <c r="B85" s="64" t="s">
        <v>47</v>
      </c>
      <c r="C85" s="227">
        <v>8587.3</v>
      </c>
      <c r="D85" s="228"/>
      <c r="E85" s="227" t="s">
        <v>34</v>
      </c>
      <c r="F85" s="227">
        <f>SUM(C85+800)</f>
        <v>9387.3</v>
      </c>
      <c r="G85" s="229">
        <f>SUM(F85-B11)</f>
        <v>676.5</v>
      </c>
      <c r="H85" s="105" t="s">
        <v>35</v>
      </c>
      <c r="I85" s="23" t="s">
        <v>220</v>
      </c>
    </row>
    <row r="86" spans="1:9" ht="15" customHeight="1">
      <c r="A86" s="258" t="s">
        <v>262</v>
      </c>
      <c r="B86" s="64" t="s">
        <v>47</v>
      </c>
      <c r="C86" s="227">
        <v>8587.3</v>
      </c>
      <c r="D86" s="228"/>
      <c r="E86" s="227" t="s">
        <v>34</v>
      </c>
      <c r="F86" s="227">
        <f>SUM(C86+800)</f>
        <v>9387.3</v>
      </c>
      <c r="G86" s="229">
        <f>SUM(F86-B11)</f>
        <v>676.5</v>
      </c>
      <c r="H86" s="105" t="s">
        <v>35</v>
      </c>
      <c r="I86" s="23" t="s">
        <v>263</v>
      </c>
    </row>
    <row r="87" spans="1:9" ht="15" customHeight="1">
      <c r="A87" s="271" t="s">
        <v>101</v>
      </c>
      <c r="B87" s="64" t="s">
        <v>40</v>
      </c>
      <c r="C87" s="102">
        <v>44995</v>
      </c>
      <c r="D87" s="66">
        <v>365</v>
      </c>
      <c r="E87" s="67" t="s">
        <v>52</v>
      </c>
      <c r="F87" s="103">
        <f>SUM(C87+D87)</f>
        <v>45360</v>
      </c>
      <c r="G87" s="104">
        <f>SUM(F87-B12)/30.4</f>
        <v>1.7763157894736843</v>
      </c>
      <c r="H87" s="105" t="s">
        <v>49</v>
      </c>
      <c r="I87" s="23" t="s">
        <v>132</v>
      </c>
    </row>
    <row r="88" spans="1:9" ht="15" customHeight="1">
      <c r="A88" s="63" t="s">
        <v>266</v>
      </c>
      <c r="B88" s="64" t="s">
        <v>47</v>
      </c>
      <c r="C88" s="250">
        <v>8587.3</v>
      </c>
      <c r="D88" s="66"/>
      <c r="E88" s="67" t="s">
        <v>122</v>
      </c>
      <c r="F88" s="250">
        <f>C88+400</f>
        <v>8987.3</v>
      </c>
      <c r="G88" s="104">
        <f>SUM(F88-B11)</f>
        <v>276.5</v>
      </c>
      <c r="H88" s="105" t="s">
        <v>35</v>
      </c>
      <c r="I88" s="23"/>
    </row>
    <row r="89" spans="1:9" ht="15" customHeight="1">
      <c r="A89" s="107" t="s">
        <v>102</v>
      </c>
      <c r="B89" s="64" t="s">
        <v>47</v>
      </c>
      <c r="C89" s="102">
        <v>38579</v>
      </c>
      <c r="D89" s="66">
        <v>5475</v>
      </c>
      <c r="E89" s="67" t="s">
        <v>228</v>
      </c>
      <c r="F89" s="103">
        <f>SUM(C89+7300)</f>
        <v>45879</v>
      </c>
      <c r="G89" s="104">
        <f>SUM(F89-B12)/30.4</f>
        <v>18.848684210526315</v>
      </c>
      <c r="H89" s="105" t="s">
        <v>49</v>
      </c>
      <c r="I89" s="204"/>
    </row>
    <row r="90" spans="1:9" ht="15" customHeight="1">
      <c r="A90" s="101" t="s">
        <v>102</v>
      </c>
      <c r="B90" s="109" t="s">
        <v>40</v>
      </c>
      <c r="C90" s="132">
        <v>44119</v>
      </c>
      <c r="D90" s="112"/>
      <c r="E90" s="113" t="s">
        <v>75</v>
      </c>
      <c r="F90" s="114">
        <f>SUM(C90+1825)</f>
        <v>45944</v>
      </c>
      <c r="G90" s="115">
        <f>SUM(F90-B12)/30.4</f>
        <v>20.986842105263158</v>
      </c>
      <c r="H90" s="116" t="s">
        <v>49</v>
      </c>
      <c r="I90" s="251"/>
    </row>
    <row r="91" spans="1:9" ht="15" customHeight="1">
      <c r="A91" s="99" t="s">
        <v>269</v>
      </c>
      <c r="B91" s="100" t="s">
        <v>268</v>
      </c>
      <c r="C91" s="133">
        <v>8206</v>
      </c>
      <c r="D91" s="112"/>
      <c r="E91" s="113" t="s">
        <v>141</v>
      </c>
      <c r="F91" s="133">
        <f>SUM(C91+5000)</f>
        <v>13206</v>
      </c>
      <c r="G91" s="134">
        <f>SUM(F91-B11)</f>
        <v>4495.200000000001</v>
      </c>
      <c r="H91" s="116" t="s">
        <v>35</v>
      </c>
      <c r="I91" s="48" t="s">
        <v>267</v>
      </c>
    </row>
    <row r="92" spans="1:9" ht="15" customHeight="1">
      <c r="A92" s="110" t="s">
        <v>198</v>
      </c>
      <c r="B92" s="125" t="s">
        <v>47</v>
      </c>
      <c r="C92" s="111">
        <v>0</v>
      </c>
      <c r="D92" s="112"/>
      <c r="E92" s="113" t="s">
        <v>55</v>
      </c>
      <c r="F92" s="111">
        <f>SUM(C92+10000)</f>
        <v>10000</v>
      </c>
      <c r="G92" s="115">
        <f>SUM(F92-B13)</f>
        <v>2300</v>
      </c>
      <c r="H92" s="116" t="s">
        <v>41</v>
      </c>
      <c r="I92" s="48" t="s">
        <v>200</v>
      </c>
    </row>
    <row r="93" spans="1:9" ht="15" customHeight="1" thickBot="1">
      <c r="A93" s="51" t="s">
        <v>199</v>
      </c>
      <c r="B93" s="52" t="s">
        <v>47</v>
      </c>
      <c r="C93" s="117">
        <v>0</v>
      </c>
      <c r="D93" s="53">
        <v>10000</v>
      </c>
      <c r="E93" s="54" t="s">
        <v>55</v>
      </c>
      <c r="F93" s="117">
        <f>SUM(C93+D93)</f>
        <v>10000</v>
      </c>
      <c r="G93" s="55">
        <f>SUM(F93-B13)</f>
        <v>2300</v>
      </c>
      <c r="H93" s="54" t="s">
        <v>41</v>
      </c>
      <c r="I93" s="40" t="s">
        <v>200</v>
      </c>
    </row>
    <row r="94" spans="1:9" ht="15" customHeight="1">
      <c r="A94" s="165" t="s">
        <v>4</v>
      </c>
      <c r="B94" s="100" t="s">
        <v>69</v>
      </c>
      <c r="C94" s="230">
        <v>0</v>
      </c>
      <c r="D94" s="231">
        <v>3600</v>
      </c>
      <c r="E94" s="230" t="s">
        <v>106</v>
      </c>
      <c r="F94" s="230">
        <f>SUM(C94+D94)</f>
        <v>3600</v>
      </c>
      <c r="G94" s="232">
        <f>SUM(F94-F8)</f>
        <v>228.60000000000036</v>
      </c>
      <c r="H94" s="72" t="s">
        <v>35</v>
      </c>
      <c r="I94" s="43" t="s">
        <v>133</v>
      </c>
    </row>
    <row r="95" spans="1:9" ht="15" customHeight="1">
      <c r="A95" s="63" t="s">
        <v>107</v>
      </c>
      <c r="B95" s="64" t="s">
        <v>40</v>
      </c>
      <c r="C95" s="227">
        <v>2326.4</v>
      </c>
      <c r="D95" s="228">
        <v>1800</v>
      </c>
      <c r="E95" s="227" t="s">
        <v>123</v>
      </c>
      <c r="F95" s="227">
        <f>SUM(C95+1800)</f>
        <v>4126.4</v>
      </c>
      <c r="G95" s="267">
        <f>SUM(F95-F8)</f>
        <v>755</v>
      </c>
      <c r="H95" s="67" t="s">
        <v>35</v>
      </c>
      <c r="I95" s="67" t="s">
        <v>133</v>
      </c>
    </row>
    <row r="96" spans="1:9" ht="15" customHeight="1">
      <c r="A96" s="63" t="s">
        <v>108</v>
      </c>
      <c r="B96" s="64" t="s">
        <v>69</v>
      </c>
      <c r="C96" s="227">
        <v>8206</v>
      </c>
      <c r="D96" s="228">
        <v>1000</v>
      </c>
      <c r="E96" s="227" t="s">
        <v>91</v>
      </c>
      <c r="F96" s="227">
        <f>C96+D96</f>
        <v>9206</v>
      </c>
      <c r="G96" s="229">
        <f>F96-B11</f>
        <v>495.2000000000007</v>
      </c>
      <c r="H96" s="67" t="s">
        <v>35</v>
      </c>
      <c r="I96" s="203"/>
    </row>
    <row r="97" spans="1:9" ht="15" customHeight="1">
      <c r="A97" s="262" t="s">
        <v>109</v>
      </c>
      <c r="B97" s="64" t="s">
        <v>47</v>
      </c>
      <c r="C97" s="227">
        <v>8587.3</v>
      </c>
      <c r="D97" s="228">
        <v>1000</v>
      </c>
      <c r="E97" s="227" t="s">
        <v>8</v>
      </c>
      <c r="F97" s="227">
        <f>C97+D97</f>
        <v>9587.3</v>
      </c>
      <c r="G97" s="229">
        <f>F97-B11</f>
        <v>876.5</v>
      </c>
      <c r="H97" s="67" t="s">
        <v>35</v>
      </c>
      <c r="I97" s="23"/>
    </row>
    <row r="98" spans="1:9" ht="15" customHeight="1">
      <c r="A98" s="261" t="s">
        <v>184</v>
      </c>
      <c r="B98" s="109" t="s">
        <v>47</v>
      </c>
      <c r="C98" s="227">
        <v>8587.3</v>
      </c>
      <c r="D98" s="228"/>
      <c r="E98" s="227" t="s">
        <v>91</v>
      </c>
      <c r="F98" s="227">
        <f>SUM(C98+1000)</f>
        <v>9587.3</v>
      </c>
      <c r="G98" s="229">
        <f>SUM(F98-B11)</f>
        <v>876.5</v>
      </c>
      <c r="H98" s="67" t="s">
        <v>35</v>
      </c>
      <c r="I98" s="204"/>
    </row>
    <row r="99" spans="1:9" ht="15" customHeight="1">
      <c r="A99" s="89" t="s">
        <v>110</v>
      </c>
      <c r="B99" s="90" t="s">
        <v>47</v>
      </c>
      <c r="C99" s="102">
        <v>42870</v>
      </c>
      <c r="D99" s="66">
        <v>1825</v>
      </c>
      <c r="E99" s="67" t="s">
        <v>80</v>
      </c>
      <c r="F99" s="103">
        <f>SUM(C99+3650)</f>
        <v>46520</v>
      </c>
      <c r="G99" s="104">
        <f>(F99-B12)/30.4</f>
        <v>39.934210526315795</v>
      </c>
      <c r="H99" s="67" t="s">
        <v>49</v>
      </c>
      <c r="I99" s="203"/>
    </row>
    <row r="100" spans="1:9" ht="15" customHeight="1">
      <c r="A100" s="89" t="s">
        <v>111</v>
      </c>
      <c r="B100" s="90" t="s">
        <v>47</v>
      </c>
      <c r="C100" s="227">
        <v>7489</v>
      </c>
      <c r="D100" s="228">
        <v>4000</v>
      </c>
      <c r="E100" s="227" t="s">
        <v>113</v>
      </c>
      <c r="F100" s="227">
        <f>C100+D100</f>
        <v>11489</v>
      </c>
      <c r="G100" s="229">
        <f>F100-B11</f>
        <v>2778.2000000000007</v>
      </c>
      <c r="H100" s="67" t="s">
        <v>35</v>
      </c>
      <c r="I100" s="215"/>
    </row>
    <row r="101" spans="1:9" ht="15" customHeight="1">
      <c r="A101" s="106"/>
      <c r="B101" s="119"/>
      <c r="C101" s="227">
        <v>7489</v>
      </c>
      <c r="D101" s="228">
        <v>3600</v>
      </c>
      <c r="E101" s="227" t="s">
        <v>106</v>
      </c>
      <c r="F101" s="227">
        <f>C101+D101</f>
        <v>11089</v>
      </c>
      <c r="G101" s="229">
        <f>F101-B11</f>
        <v>2378.2000000000007</v>
      </c>
      <c r="H101" s="67" t="s">
        <v>35</v>
      </c>
      <c r="I101" s="42" t="s">
        <v>115</v>
      </c>
    </row>
    <row r="102" spans="1:9" ht="15" customHeight="1">
      <c r="A102" s="89" t="s">
        <v>112</v>
      </c>
      <c r="B102" s="90" t="s">
        <v>69</v>
      </c>
      <c r="C102" s="227">
        <v>8282</v>
      </c>
      <c r="D102" s="228">
        <v>3000</v>
      </c>
      <c r="E102" s="227" t="s">
        <v>113</v>
      </c>
      <c r="F102" s="227">
        <f>SUM(C102+4000)</f>
        <v>12282</v>
      </c>
      <c r="G102" s="229">
        <f>F102-F13</f>
        <v>8910.6</v>
      </c>
      <c r="H102" s="67" t="s">
        <v>35</v>
      </c>
      <c r="I102" s="253"/>
    </row>
    <row r="103" spans="1:9" ht="15" customHeight="1">
      <c r="A103" s="106" t="s">
        <v>207</v>
      </c>
      <c r="B103" s="119"/>
      <c r="C103" s="103">
        <v>44362</v>
      </c>
      <c r="D103" s="66">
        <v>1825</v>
      </c>
      <c r="E103" s="67" t="s">
        <v>70</v>
      </c>
      <c r="F103" s="103">
        <f>SUM(C103+2190)</f>
        <v>46552</v>
      </c>
      <c r="G103" s="104">
        <f>(F103-B12)/30.4</f>
        <v>40.98684210526316</v>
      </c>
      <c r="H103" s="67" t="s">
        <v>49</v>
      </c>
      <c r="I103" s="203"/>
    </row>
    <row r="104" spans="1:9" ht="15" customHeight="1">
      <c r="A104" s="120" t="s">
        <v>116</v>
      </c>
      <c r="B104" s="109" t="s">
        <v>69</v>
      </c>
      <c r="C104" s="233">
        <v>3560.6</v>
      </c>
      <c r="D104" s="228">
        <v>6500</v>
      </c>
      <c r="E104" s="227" t="s">
        <v>117</v>
      </c>
      <c r="F104" s="227">
        <f>D104+C104</f>
        <v>10060.6</v>
      </c>
      <c r="G104" s="234">
        <f>F104-B11</f>
        <v>1349.800000000001</v>
      </c>
      <c r="H104" s="67" t="s">
        <v>35</v>
      </c>
      <c r="I104" s="23" t="s">
        <v>134</v>
      </c>
    </row>
    <row r="105" spans="1:9" ht="15" customHeight="1">
      <c r="A105" s="122"/>
      <c r="B105" s="100"/>
      <c r="C105" s="123" t="s">
        <v>152</v>
      </c>
      <c r="D105" s="66">
        <v>2190</v>
      </c>
      <c r="E105" s="67" t="s">
        <v>70</v>
      </c>
      <c r="F105" s="103" t="e">
        <f>D105+C105</f>
        <v>#VALUE!</v>
      </c>
      <c r="G105" s="104" t="e">
        <f>(F105-B12)/30.4</f>
        <v>#VALUE!</v>
      </c>
      <c r="H105" s="67" t="s">
        <v>49</v>
      </c>
      <c r="I105" s="23"/>
    </row>
    <row r="106" spans="1:9" ht="15" customHeight="1">
      <c r="A106" s="120" t="s">
        <v>118</v>
      </c>
      <c r="B106" s="109" t="s">
        <v>69</v>
      </c>
      <c r="C106" s="154">
        <v>0</v>
      </c>
      <c r="D106" s="66">
        <v>4500</v>
      </c>
      <c r="E106" s="67" t="s">
        <v>119</v>
      </c>
      <c r="F106" s="65">
        <f>D106+C106</f>
        <v>4500</v>
      </c>
      <c r="G106" s="121">
        <f>F106-F8</f>
        <v>1128.6000000000004</v>
      </c>
      <c r="H106" s="67" t="s">
        <v>35</v>
      </c>
      <c r="I106" s="23" t="s">
        <v>134</v>
      </c>
    </row>
    <row r="107" spans="1:9" ht="15" customHeight="1">
      <c r="A107" s="122"/>
      <c r="B107" s="100"/>
      <c r="C107" s="123" t="s">
        <v>152</v>
      </c>
      <c r="D107" s="66">
        <v>2190</v>
      </c>
      <c r="E107" s="67" t="s">
        <v>10</v>
      </c>
      <c r="F107" s="103" t="e">
        <f>D107+C107</f>
        <v>#VALUE!</v>
      </c>
      <c r="G107" s="104" t="e">
        <f>(F107-B12)/30.4</f>
        <v>#VALUE!</v>
      </c>
      <c r="H107" s="67" t="s">
        <v>49</v>
      </c>
      <c r="I107" s="23"/>
    </row>
    <row r="108" spans="1:9" ht="15" customHeight="1">
      <c r="A108" s="270" t="s">
        <v>120</v>
      </c>
      <c r="B108" s="100" t="s">
        <v>121</v>
      </c>
      <c r="C108" s="227">
        <v>8391</v>
      </c>
      <c r="D108" s="228">
        <v>400</v>
      </c>
      <c r="E108" s="227" t="s">
        <v>122</v>
      </c>
      <c r="F108" s="227">
        <f>D108+C108</f>
        <v>8791</v>
      </c>
      <c r="G108" s="234">
        <f>F108-B11</f>
        <v>80.20000000000073</v>
      </c>
      <c r="H108" s="67" t="s">
        <v>35</v>
      </c>
      <c r="I108" s="23"/>
    </row>
    <row r="109" spans="1:9" ht="15" customHeight="1" thickBot="1">
      <c r="A109" s="275" t="s">
        <v>160</v>
      </c>
      <c r="B109" s="180" t="s">
        <v>40</v>
      </c>
      <c r="C109" s="236">
        <v>8391</v>
      </c>
      <c r="D109" s="237"/>
      <c r="E109" s="236" t="s">
        <v>122</v>
      </c>
      <c r="F109" s="236">
        <f>SUM(C109+400)</f>
        <v>8791</v>
      </c>
      <c r="G109" s="238">
        <f>SUM(F109-B11)</f>
        <v>80.20000000000073</v>
      </c>
      <c r="H109" s="181" t="s">
        <v>35</v>
      </c>
      <c r="I109" s="182"/>
    </row>
    <row r="110" spans="1:9" ht="15" customHeight="1" thickBot="1" thickTop="1">
      <c r="A110" s="183"/>
      <c r="B110" s="184"/>
      <c r="C110" s="185"/>
      <c r="D110" s="186"/>
      <c r="E110" s="187"/>
      <c r="F110" s="185"/>
      <c r="G110" s="188"/>
      <c r="H110" s="187"/>
      <c r="I110" s="189"/>
    </row>
    <row r="111" spans="1:9" ht="15" customHeight="1" thickTop="1">
      <c r="A111" s="176" t="s">
        <v>5</v>
      </c>
      <c r="B111" s="177" t="s">
        <v>69</v>
      </c>
      <c r="C111" s="239">
        <v>0</v>
      </c>
      <c r="D111" s="240">
        <v>3600</v>
      </c>
      <c r="E111" s="239" t="s">
        <v>106</v>
      </c>
      <c r="F111" s="239">
        <f>SUM(C111+D111)</f>
        <v>3600</v>
      </c>
      <c r="G111" s="241">
        <f>SUM(F111-G8)</f>
        <v>228.60000000000036</v>
      </c>
      <c r="H111" s="178" t="s">
        <v>35</v>
      </c>
      <c r="I111" s="179"/>
    </row>
    <row r="112" spans="1:9" ht="15" customHeight="1">
      <c r="A112" s="63" t="s">
        <v>107</v>
      </c>
      <c r="B112" s="65"/>
      <c r="C112" s="227">
        <v>2416</v>
      </c>
      <c r="D112" s="228">
        <v>1800</v>
      </c>
      <c r="E112" s="227" t="s">
        <v>123</v>
      </c>
      <c r="F112" s="227">
        <f>SUM(C112+1800)</f>
        <v>4216</v>
      </c>
      <c r="G112" s="267">
        <f>SUM(F112-G8)</f>
        <v>844.6000000000004</v>
      </c>
      <c r="H112" s="67" t="s">
        <v>35</v>
      </c>
      <c r="I112" s="67"/>
    </row>
    <row r="113" spans="1:9" ht="15" customHeight="1">
      <c r="A113" s="63" t="s">
        <v>108</v>
      </c>
      <c r="B113" s="64" t="s">
        <v>69</v>
      </c>
      <c r="C113" s="227">
        <v>8206</v>
      </c>
      <c r="D113" s="228">
        <v>1000</v>
      </c>
      <c r="E113" s="227" t="s">
        <v>91</v>
      </c>
      <c r="F113" s="227">
        <f>C113+D113</f>
        <v>9206</v>
      </c>
      <c r="G113" s="229">
        <f>F113-B11</f>
        <v>495.2000000000007</v>
      </c>
      <c r="H113" s="67" t="s">
        <v>35</v>
      </c>
      <c r="I113" s="249"/>
    </row>
    <row r="114" spans="1:9" ht="15" customHeight="1">
      <c r="A114" s="262" t="s">
        <v>109</v>
      </c>
      <c r="B114" s="64" t="s">
        <v>47</v>
      </c>
      <c r="C114" s="227">
        <v>8587.3</v>
      </c>
      <c r="D114" s="228">
        <v>1000</v>
      </c>
      <c r="E114" s="227" t="s">
        <v>91</v>
      </c>
      <c r="F114" s="227">
        <f>C114+D114</f>
        <v>9587.3</v>
      </c>
      <c r="G114" s="229">
        <f>F114-B11</f>
        <v>876.5</v>
      </c>
      <c r="H114" s="67" t="s">
        <v>35</v>
      </c>
      <c r="I114" s="23"/>
    </row>
    <row r="115" spans="1:9" ht="15" customHeight="1">
      <c r="A115" s="262" t="s">
        <v>184</v>
      </c>
      <c r="B115" s="64" t="s">
        <v>47</v>
      </c>
      <c r="C115" s="227">
        <v>8587.3</v>
      </c>
      <c r="D115" s="228"/>
      <c r="E115" s="227" t="s">
        <v>91</v>
      </c>
      <c r="F115" s="227">
        <f>SUM(C115+1000)</f>
        <v>9587.3</v>
      </c>
      <c r="G115" s="229">
        <f>SUM(F115-B11)</f>
        <v>876.5</v>
      </c>
      <c r="H115" s="67" t="s">
        <v>35</v>
      </c>
      <c r="I115" s="204"/>
    </row>
    <row r="116" spans="1:9" ht="15" customHeight="1">
      <c r="A116" s="235" t="s">
        <v>110</v>
      </c>
      <c r="B116" s="118" t="s">
        <v>47</v>
      </c>
      <c r="C116" s="174">
        <v>42870</v>
      </c>
      <c r="D116" s="66">
        <v>1825</v>
      </c>
      <c r="E116" s="67" t="s">
        <v>272</v>
      </c>
      <c r="F116" s="103">
        <f>SUM(C116+3650)</f>
        <v>46520</v>
      </c>
      <c r="G116" s="104">
        <f>(F116-B12)/30.4</f>
        <v>39.934210526315795</v>
      </c>
      <c r="H116" s="67" t="s">
        <v>49</v>
      </c>
      <c r="I116" s="203"/>
    </row>
    <row r="117" spans="1:9" ht="15" customHeight="1">
      <c r="A117" s="89" t="s">
        <v>111</v>
      </c>
      <c r="B117" s="90" t="s">
        <v>47</v>
      </c>
      <c r="C117" s="227">
        <v>7489</v>
      </c>
      <c r="D117" s="228">
        <v>4000</v>
      </c>
      <c r="E117" s="227" t="s">
        <v>113</v>
      </c>
      <c r="F117" s="227">
        <f>C117+D117</f>
        <v>11489</v>
      </c>
      <c r="G117" s="229">
        <f>F117-B11</f>
        <v>2778.2000000000007</v>
      </c>
      <c r="H117" s="67" t="s">
        <v>35</v>
      </c>
      <c r="I117" s="215"/>
    </row>
    <row r="118" spans="1:9" ht="15" customHeight="1">
      <c r="A118" s="106"/>
      <c r="B118" s="119"/>
      <c r="C118" s="227">
        <v>7489</v>
      </c>
      <c r="D118" s="228">
        <v>3600</v>
      </c>
      <c r="E118" s="227" t="s">
        <v>9</v>
      </c>
      <c r="F118" s="227">
        <f>SUM(C118+3600)</f>
        <v>11089</v>
      </c>
      <c r="G118" s="229">
        <f>F118-B11</f>
        <v>2378.2000000000007</v>
      </c>
      <c r="H118" s="67" t="s">
        <v>35</v>
      </c>
      <c r="I118" s="42" t="s">
        <v>114</v>
      </c>
    </row>
    <row r="119" spans="1:9" ht="15" customHeight="1">
      <c r="A119" s="89" t="s">
        <v>112</v>
      </c>
      <c r="B119" s="90" t="s">
        <v>69</v>
      </c>
      <c r="C119" s="227">
        <v>8282</v>
      </c>
      <c r="D119" s="228">
        <v>3000</v>
      </c>
      <c r="E119" s="227" t="s">
        <v>113</v>
      </c>
      <c r="F119" s="227">
        <f>SUM(C119+4000)</f>
        <v>12282</v>
      </c>
      <c r="G119" s="229">
        <f>SUM(F119-G13)</f>
        <v>8910.6</v>
      </c>
      <c r="H119" s="67" t="s">
        <v>35</v>
      </c>
      <c r="I119" s="253"/>
    </row>
    <row r="120" spans="1:9" ht="15" customHeight="1">
      <c r="A120" s="106" t="s">
        <v>207</v>
      </c>
      <c r="B120" s="119"/>
      <c r="C120" s="102">
        <v>44362</v>
      </c>
      <c r="D120" s="66">
        <v>1825</v>
      </c>
      <c r="E120" s="67" t="s">
        <v>70</v>
      </c>
      <c r="F120" s="103">
        <f>SUM(C120+2190)</f>
        <v>46552</v>
      </c>
      <c r="G120" s="104">
        <f>SUM(F120-B12)/30.4</f>
        <v>40.98684210526316</v>
      </c>
      <c r="H120" s="67" t="s">
        <v>49</v>
      </c>
      <c r="I120" s="203"/>
    </row>
    <row r="121" spans="1:9" ht="15" customHeight="1">
      <c r="A121" s="120" t="s">
        <v>116</v>
      </c>
      <c r="B121" s="109" t="s">
        <v>69</v>
      </c>
      <c r="C121" s="227">
        <v>3596.6</v>
      </c>
      <c r="D121" s="228">
        <v>6500</v>
      </c>
      <c r="E121" s="227" t="s">
        <v>117</v>
      </c>
      <c r="F121" s="227">
        <f>D121+C121</f>
        <v>10096.6</v>
      </c>
      <c r="G121" s="234">
        <f>F121-B11</f>
        <v>1385.800000000001</v>
      </c>
      <c r="H121" s="67" t="s">
        <v>35</v>
      </c>
      <c r="I121" s="23" t="s">
        <v>134</v>
      </c>
    </row>
    <row r="122" spans="1:9" s="3" customFormat="1" ht="15" customHeight="1">
      <c r="A122" s="122"/>
      <c r="B122" s="100"/>
      <c r="C122" s="123" t="s">
        <v>152</v>
      </c>
      <c r="D122" s="66">
        <v>2190</v>
      </c>
      <c r="E122" s="67" t="s">
        <v>70</v>
      </c>
      <c r="F122" s="103" t="e">
        <f>D122+C122</f>
        <v>#VALUE!</v>
      </c>
      <c r="G122" s="104" t="e">
        <f>(F122-B12)/30.4</f>
        <v>#VALUE!</v>
      </c>
      <c r="H122" s="67" t="s">
        <v>49</v>
      </c>
      <c r="I122" s="23"/>
    </row>
    <row r="123" spans="1:9" s="3" customFormat="1" ht="15" customHeight="1">
      <c r="A123" s="120" t="s">
        <v>118</v>
      </c>
      <c r="B123" s="125" t="s">
        <v>69</v>
      </c>
      <c r="C123" s="242">
        <v>0</v>
      </c>
      <c r="D123" s="228">
        <v>4500</v>
      </c>
      <c r="E123" s="227" t="s">
        <v>119</v>
      </c>
      <c r="F123" s="227">
        <f>D123+C123</f>
        <v>4500</v>
      </c>
      <c r="G123" s="234">
        <f>F123-G8</f>
        <v>1128.6000000000004</v>
      </c>
      <c r="H123" s="67" t="s">
        <v>35</v>
      </c>
      <c r="I123" s="23" t="s">
        <v>135</v>
      </c>
    </row>
    <row r="124" spans="1:9" s="3" customFormat="1" ht="15" customHeight="1">
      <c r="A124" s="122"/>
      <c r="B124" s="100"/>
      <c r="C124" s="123" t="s">
        <v>152</v>
      </c>
      <c r="D124" s="66">
        <v>2190</v>
      </c>
      <c r="E124" s="67" t="s">
        <v>70</v>
      </c>
      <c r="F124" s="103" t="e">
        <f>D124+C124</f>
        <v>#VALUE!</v>
      </c>
      <c r="G124" s="104" t="e">
        <f>(F124-B12)/30.4</f>
        <v>#VALUE!</v>
      </c>
      <c r="H124" s="67" t="s">
        <v>49</v>
      </c>
      <c r="I124" s="23"/>
    </row>
    <row r="125" spans="1:9" s="3" customFormat="1" ht="15" customHeight="1">
      <c r="A125" s="270" t="s">
        <v>120</v>
      </c>
      <c r="B125" s="29" t="s">
        <v>121</v>
      </c>
      <c r="C125" s="227">
        <v>8391</v>
      </c>
      <c r="D125" s="244">
        <v>400</v>
      </c>
      <c r="E125" s="243" t="s">
        <v>122</v>
      </c>
      <c r="F125" s="243">
        <f>D125+C125</f>
        <v>8791</v>
      </c>
      <c r="G125" s="245">
        <f>F125-B11</f>
        <v>80.20000000000073</v>
      </c>
      <c r="H125" s="23" t="s">
        <v>35</v>
      </c>
      <c r="I125" s="23"/>
    </row>
    <row r="126" spans="1:9" s="3" customFormat="1" ht="15" customHeight="1">
      <c r="A126" s="271" t="s">
        <v>160</v>
      </c>
      <c r="B126" s="152" t="s">
        <v>40</v>
      </c>
      <c r="C126" s="227">
        <v>8391</v>
      </c>
      <c r="D126" s="244"/>
      <c r="E126" s="243" t="s">
        <v>122</v>
      </c>
      <c r="F126" s="243">
        <f>SUM(C126+400)</f>
        <v>8791</v>
      </c>
      <c r="G126" s="245">
        <f>SUM(F126-B11)</f>
        <v>80.20000000000073</v>
      </c>
      <c r="H126" s="23" t="s">
        <v>35</v>
      </c>
      <c r="I126" s="23"/>
    </row>
    <row r="127" spans="10:29" ht="15" customHeight="1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9" ht="15" customHeight="1">
      <c r="A128" s="61" t="s">
        <v>124</v>
      </c>
      <c r="B128" s="31"/>
      <c r="C128" s="10"/>
      <c r="D128" s="10"/>
      <c r="E128" s="28"/>
      <c r="F128" s="28"/>
      <c r="G128" s="36"/>
      <c r="H128" s="10"/>
      <c r="I128" s="11"/>
    </row>
    <row r="129" spans="1:9" ht="15" customHeight="1">
      <c r="A129" s="173" t="s">
        <v>139</v>
      </c>
      <c r="C129" s="33"/>
      <c r="D129" s="33"/>
      <c r="G129" s="25" t="s">
        <v>216</v>
      </c>
      <c r="H129" s="33" t="s">
        <v>215</v>
      </c>
      <c r="I129" s="62" t="s">
        <v>217</v>
      </c>
    </row>
    <row r="130" spans="1:9" ht="15" customHeight="1">
      <c r="A130" s="27" t="s">
        <v>265</v>
      </c>
      <c r="B130" s="30" t="s">
        <v>258</v>
      </c>
      <c r="C130" s="33"/>
      <c r="D130" s="33"/>
      <c r="H130" s="33"/>
      <c r="I130" s="62"/>
    </row>
    <row r="131" spans="1:9" ht="15" customHeight="1">
      <c r="A131" s="27" t="s">
        <v>264</v>
      </c>
      <c r="C131" s="33"/>
      <c r="D131" s="33"/>
      <c r="H131" s="33"/>
      <c r="I131" s="62"/>
    </row>
    <row r="132" spans="1:9" ht="15" customHeight="1">
      <c r="A132" s="27" t="s">
        <v>224</v>
      </c>
      <c r="C132" s="33"/>
      <c r="D132" s="33"/>
      <c r="H132" s="33" t="s">
        <v>213</v>
      </c>
      <c r="I132" s="62" t="s">
        <v>225</v>
      </c>
    </row>
    <row r="133" spans="1:9" ht="15" customHeight="1">
      <c r="A133" s="27" t="s">
        <v>169</v>
      </c>
      <c r="C133" s="33"/>
      <c r="D133" s="33"/>
      <c r="H133" s="33" t="s">
        <v>212</v>
      </c>
      <c r="I133" s="62" t="s">
        <v>170</v>
      </c>
    </row>
    <row r="134" spans="1:9" ht="15" customHeight="1">
      <c r="A134" s="27" t="s">
        <v>171</v>
      </c>
      <c r="B134" s="30" t="s">
        <v>172</v>
      </c>
      <c r="C134" s="33" t="s">
        <v>173</v>
      </c>
      <c r="D134" s="33"/>
      <c r="E134" s="33" t="s">
        <v>174</v>
      </c>
      <c r="F134" s="33" t="s">
        <v>175</v>
      </c>
      <c r="H134" s="33" t="s">
        <v>214</v>
      </c>
      <c r="I134" s="62" t="s">
        <v>218</v>
      </c>
    </row>
    <row r="135" spans="1:9" ht="15" customHeight="1">
      <c r="A135" s="27" t="s">
        <v>176</v>
      </c>
      <c r="C135" s="33"/>
      <c r="D135" s="33"/>
      <c r="H135" s="33" t="s">
        <v>213</v>
      </c>
      <c r="I135" s="62"/>
    </row>
    <row r="136" spans="1:9" ht="15" customHeight="1">
      <c r="A136" s="27" t="s">
        <v>177</v>
      </c>
      <c r="C136" s="33"/>
      <c r="D136" s="33"/>
      <c r="H136" s="33" t="s">
        <v>213</v>
      </c>
      <c r="I136" s="62"/>
    </row>
    <row r="137" spans="1:9" ht="15" customHeight="1">
      <c r="A137" s="27" t="s">
        <v>178</v>
      </c>
      <c r="C137" s="33"/>
      <c r="D137" s="33"/>
      <c r="H137" s="33" t="s">
        <v>213</v>
      </c>
      <c r="I137" s="62" t="s">
        <v>194</v>
      </c>
    </row>
    <row r="138" spans="1:9" ht="15" customHeight="1">
      <c r="A138" s="27" t="s">
        <v>179</v>
      </c>
      <c r="C138" s="33"/>
      <c r="D138" s="33"/>
      <c r="H138" s="33" t="s">
        <v>213</v>
      </c>
      <c r="I138" s="62" t="s">
        <v>195</v>
      </c>
    </row>
    <row r="139" spans="1:9" ht="15" customHeight="1">
      <c r="A139" s="27" t="s">
        <v>181</v>
      </c>
      <c r="C139" s="33"/>
      <c r="D139" s="33"/>
      <c r="H139" s="33" t="s">
        <v>215</v>
      </c>
      <c r="I139" s="62" t="s">
        <v>182</v>
      </c>
    </row>
    <row r="140" spans="1:9" ht="15" customHeight="1">
      <c r="A140" s="27" t="s">
        <v>211</v>
      </c>
      <c r="C140" s="33"/>
      <c r="D140" s="33"/>
      <c r="G140" s="25" t="s">
        <v>208</v>
      </c>
      <c r="H140" s="33" t="s">
        <v>209</v>
      </c>
      <c r="I140" s="62" t="s">
        <v>210</v>
      </c>
    </row>
    <row r="141" spans="1:9" ht="15" customHeight="1">
      <c r="A141" s="27"/>
      <c r="C141" s="33"/>
      <c r="D141" s="33"/>
      <c r="H141" s="33"/>
      <c r="I141" s="62"/>
    </row>
    <row r="142" spans="1:9" ht="15" customHeight="1">
      <c r="A142" s="144" t="s">
        <v>148</v>
      </c>
      <c r="B142" s="31"/>
      <c r="C142" s="10"/>
      <c r="D142" s="10"/>
      <c r="E142" s="28"/>
      <c r="F142" s="28"/>
      <c r="G142" s="36"/>
      <c r="H142" s="10"/>
      <c r="I142" s="11"/>
    </row>
    <row r="143" spans="1:9" ht="15" customHeight="1">
      <c r="A143" s="27" t="s">
        <v>180</v>
      </c>
      <c r="I143" s="12"/>
    </row>
    <row r="144" spans="1:9" ht="15" customHeight="1">
      <c r="A144" s="27" t="s">
        <v>226</v>
      </c>
      <c r="I144" s="12"/>
    </row>
    <row r="145" spans="1:9" ht="15" customHeight="1">
      <c r="A145" s="268" t="s">
        <v>260</v>
      </c>
      <c r="G145" s="25" t="s">
        <v>270</v>
      </c>
      <c r="I145" s="254" t="s">
        <v>271</v>
      </c>
    </row>
    <row r="146" spans="1:9" ht="15" customHeight="1">
      <c r="A146" s="27" t="s">
        <v>254</v>
      </c>
      <c r="I146" s="246" t="s">
        <v>255</v>
      </c>
    </row>
    <row r="147" spans="1:9" ht="15" customHeight="1">
      <c r="A147" s="27" t="s">
        <v>229</v>
      </c>
      <c r="B147" s="30" t="s">
        <v>244</v>
      </c>
      <c r="C147" s="247"/>
      <c r="H147" s="247" t="s">
        <v>237</v>
      </c>
      <c r="I147" s="246" t="s">
        <v>236</v>
      </c>
    </row>
    <row r="148" spans="1:9" ht="15" customHeight="1">
      <c r="A148" s="27" t="s">
        <v>230</v>
      </c>
      <c r="B148" s="30" t="s">
        <v>244</v>
      </c>
      <c r="H148" s="247" t="s">
        <v>237</v>
      </c>
      <c r="I148" s="246" t="s">
        <v>236</v>
      </c>
    </row>
    <row r="149" spans="1:9" ht="15" customHeight="1">
      <c r="A149" s="27" t="s">
        <v>231</v>
      </c>
      <c r="B149" s="30" t="s">
        <v>244</v>
      </c>
      <c r="H149" s="247" t="s">
        <v>237</v>
      </c>
      <c r="I149" s="246" t="s">
        <v>238</v>
      </c>
    </row>
    <row r="150" spans="1:9" ht="15" customHeight="1">
      <c r="A150" s="27" t="s">
        <v>232</v>
      </c>
      <c r="B150" s="30" t="s">
        <v>245</v>
      </c>
      <c r="G150" s="25" t="s">
        <v>239</v>
      </c>
      <c r="H150" s="247" t="s">
        <v>240</v>
      </c>
      <c r="I150" s="246" t="s">
        <v>241</v>
      </c>
    </row>
    <row r="151" spans="1:9" ht="15" customHeight="1">
      <c r="A151" s="27" t="s">
        <v>242</v>
      </c>
      <c r="B151" s="30" t="s">
        <v>246</v>
      </c>
      <c r="G151" s="25" t="s">
        <v>243</v>
      </c>
      <c r="H151" s="247" t="s">
        <v>240</v>
      </c>
      <c r="I151" s="246" t="s">
        <v>241</v>
      </c>
    </row>
    <row r="152" spans="1:9" ht="15" customHeight="1">
      <c r="A152" s="27" t="s">
        <v>233</v>
      </c>
      <c r="B152" s="30" t="s">
        <v>244</v>
      </c>
      <c r="H152" s="247" t="s">
        <v>237</v>
      </c>
      <c r="I152" s="246" t="s">
        <v>247</v>
      </c>
    </row>
    <row r="153" spans="1:9" ht="15" customHeight="1">
      <c r="A153" s="27" t="s">
        <v>234</v>
      </c>
      <c r="B153" s="30" t="s">
        <v>244</v>
      </c>
      <c r="H153" s="247" t="s">
        <v>237</v>
      </c>
      <c r="I153" s="246" t="s">
        <v>248</v>
      </c>
    </row>
    <row r="154" spans="1:9" ht="15" customHeight="1">
      <c r="A154" s="27" t="s">
        <v>235</v>
      </c>
      <c r="B154" s="30" t="s">
        <v>244</v>
      </c>
      <c r="H154" s="247" t="s">
        <v>237</v>
      </c>
      <c r="I154" s="246" t="s">
        <v>249</v>
      </c>
    </row>
    <row r="155" spans="1:9" ht="15" customHeight="1">
      <c r="A155" s="27" t="s">
        <v>250</v>
      </c>
      <c r="B155" s="30" t="s">
        <v>244</v>
      </c>
      <c r="H155" s="247" t="s">
        <v>237</v>
      </c>
      <c r="I155" s="246" t="s">
        <v>251</v>
      </c>
    </row>
    <row r="156" spans="1:9" ht="15" customHeight="1">
      <c r="A156" s="27" t="s">
        <v>252</v>
      </c>
      <c r="B156" s="30" t="s">
        <v>244</v>
      </c>
      <c r="H156" s="247" t="s">
        <v>237</v>
      </c>
      <c r="I156" s="246" t="s">
        <v>251</v>
      </c>
    </row>
    <row r="157" spans="1:9" ht="15" customHeight="1">
      <c r="A157" s="27" t="s">
        <v>253</v>
      </c>
      <c r="B157" s="30" t="s">
        <v>244</v>
      </c>
      <c r="H157" s="247" t="s">
        <v>237</v>
      </c>
      <c r="I157" s="246" t="s">
        <v>251</v>
      </c>
    </row>
    <row r="158" spans="1:9" ht="15" customHeight="1">
      <c r="A158" s="27"/>
      <c r="H158" s="247"/>
      <c r="I158" s="246"/>
    </row>
    <row r="159" spans="1:9" ht="15" customHeight="1">
      <c r="A159" s="27"/>
      <c r="H159" s="247"/>
      <c r="I159" s="246"/>
    </row>
    <row r="160" spans="1:9" ht="15" customHeight="1">
      <c r="A160" s="27"/>
      <c r="H160" s="247"/>
      <c r="I160" s="246"/>
    </row>
    <row r="161" spans="1:9" ht="15" customHeight="1">
      <c r="A161" s="142"/>
      <c r="B161" s="32"/>
      <c r="C161" s="13"/>
      <c r="D161" s="13"/>
      <c r="E161" s="34"/>
      <c r="F161" s="34"/>
      <c r="G161" s="37"/>
      <c r="H161" s="13"/>
      <c r="I161" s="143"/>
    </row>
    <row r="162" spans="1:6" ht="15" customHeight="1">
      <c r="A162" s="26" t="s">
        <v>6</v>
      </c>
      <c r="C162" s="4"/>
      <c r="D162" s="4"/>
      <c r="F162" s="25"/>
    </row>
    <row r="163" spans="1:6" ht="15" customHeight="1">
      <c r="A163" s="26" t="s">
        <v>7</v>
      </c>
      <c r="C163" s="4"/>
      <c r="D163" s="4"/>
      <c r="F163" s="25"/>
    </row>
  </sheetData>
  <sheetProtection/>
  <printOptions/>
  <pageMargins left="0.25" right="0.25" top="0.75" bottom="0.75" header="0.3" footer="0.3"/>
  <pageSetup fitToHeight="3" fitToWidth="3" horizontalDpi="600" verticalDpi="600" orientation="portrait" scale="84" r:id="rId1"/>
  <headerFooter alignWithMargins="0">
    <oddFooter>&amp;LRevised 12-7-04gb&amp;CPage &amp;P of &amp;N&amp;R&amp;D</oddFooter>
  </headerFooter>
  <rowBreaks count="2" manualBreakCount="2">
    <brk id="55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Davis</dc:creator>
  <cp:keywords/>
  <dc:description/>
  <cp:lastModifiedBy>carla bare</cp:lastModifiedBy>
  <cp:lastPrinted>2022-04-14T15:39:27Z</cp:lastPrinted>
  <dcterms:created xsi:type="dcterms:W3CDTF">2003-12-22T15:49:04Z</dcterms:created>
  <dcterms:modified xsi:type="dcterms:W3CDTF">2024-01-20T15:42:48Z</dcterms:modified>
  <cp:category/>
  <cp:version/>
  <cp:contentType/>
  <cp:contentStatus/>
</cp:coreProperties>
</file>